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340" windowWidth="20730" windowHeight="6855" tabRatio="638" firstSheet="1" activeTab="1"/>
  </bookViews>
  <sheets>
    <sheet name="قدرت جذب اعتبارات" sheetId="29" r:id="rId1"/>
    <sheet name="قراردادهای 1402" sheetId="30" r:id="rId2"/>
  </sheets>
  <definedNames>
    <definedName name="_xlnm._FilterDatabase" localSheetId="1" hidden="1">'قراردادهای 1402'!$A$1:$R$61</definedName>
    <definedName name="_xlnm.Print_Area" localSheetId="0">'قدرت جذب اعتبارات'!$A$1:$F$60</definedName>
    <definedName name="_xlnm.Print_Area" localSheetId="1">'قراردادهای 1402'!$A$1:$R$61</definedName>
  </definedNames>
  <calcPr calcId="145621"/>
</workbook>
</file>

<file path=xl/calcChain.xml><?xml version="1.0" encoding="utf-8"?>
<calcChain xmlns="http://schemas.openxmlformats.org/spreadsheetml/2006/main">
  <c r="M31" i="30" l="1"/>
  <c r="M30" i="30" l="1"/>
  <c r="M32" i="30" l="1"/>
  <c r="M33" i="30" l="1"/>
  <c r="E2" i="29" l="1"/>
  <c r="C16" i="29" l="1"/>
  <c r="D16" i="29"/>
  <c r="D3" i="29"/>
  <c r="E9" i="29"/>
  <c r="C18" i="29"/>
  <c r="C17" i="29"/>
  <c r="C15" i="29"/>
  <c r="C14" i="29"/>
  <c r="C13" i="29"/>
  <c r="C12" i="29"/>
  <c r="C11" i="29"/>
  <c r="C10" i="29"/>
  <c r="C7" i="29"/>
  <c r="C6" i="29"/>
  <c r="C5" i="29"/>
  <c r="C4" i="29"/>
  <c r="C2" i="29"/>
  <c r="D18" i="29"/>
  <c r="D17" i="29"/>
  <c r="D15" i="29"/>
  <c r="D14" i="29"/>
  <c r="D13" i="29"/>
  <c r="D12" i="29"/>
  <c r="D11" i="29"/>
  <c r="D10" i="29"/>
  <c r="D9" i="29"/>
  <c r="D8" i="29"/>
  <c r="D7" i="29"/>
  <c r="D6" i="29"/>
  <c r="D5" i="29"/>
  <c r="D4" i="29"/>
  <c r="D2" i="29"/>
  <c r="E17" i="29"/>
  <c r="E14" i="29"/>
  <c r="E13" i="29"/>
  <c r="E12" i="29"/>
  <c r="E11" i="29"/>
  <c r="E10" i="29"/>
  <c r="E8" i="29"/>
  <c r="E7" i="29"/>
  <c r="E6" i="29"/>
  <c r="E5" i="29"/>
  <c r="E4" i="29"/>
  <c r="C34" i="29"/>
  <c r="D34" i="29"/>
  <c r="C9" i="29" l="1"/>
  <c r="E18" i="29"/>
  <c r="E16" i="29"/>
  <c r="C8" i="29"/>
  <c r="C3" i="29"/>
  <c r="E3" i="29"/>
  <c r="E15" i="29"/>
  <c r="E34" i="29"/>
  <c r="D19" i="29"/>
  <c r="C35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0" i="29"/>
  <c r="E35" i="29"/>
  <c r="E32" i="29"/>
  <c r="E31" i="29"/>
  <c r="D32" i="29"/>
  <c r="C19" i="29" l="1"/>
  <c r="E19" i="29"/>
  <c r="F2" i="29" s="1"/>
  <c r="D31" i="29"/>
  <c r="C21" i="29"/>
  <c r="C36" i="29" s="1"/>
  <c r="D35" i="29"/>
  <c r="C37" i="29"/>
  <c r="D37" i="29"/>
  <c r="D20" i="29"/>
  <c r="E33" i="29" l="1"/>
  <c r="E20" i="29" l="1"/>
  <c r="D33" i="29" l="1"/>
  <c r="E37" i="29" l="1"/>
  <c r="C58" i="29" l="1"/>
  <c r="D58" i="29"/>
  <c r="C57" i="29"/>
  <c r="D57" i="29"/>
  <c r="C56" i="29"/>
  <c r="D56" i="29"/>
  <c r="C55" i="29"/>
  <c r="C54" i="29"/>
  <c r="C38" i="29"/>
  <c r="D54" i="29"/>
  <c r="D38" i="29"/>
  <c r="C52" i="29"/>
  <c r="D52" i="29"/>
  <c r="C51" i="29"/>
  <c r="C50" i="29"/>
  <c r="D50" i="29"/>
  <c r="C49" i="29"/>
  <c r="C48" i="29"/>
  <c r="D48" i="29"/>
  <c r="C47" i="29"/>
  <c r="C46" i="29"/>
  <c r="D46" i="29"/>
  <c r="C45" i="29"/>
  <c r="C44" i="29"/>
  <c r="D44" i="29"/>
  <c r="C43" i="29"/>
  <c r="D43" i="29"/>
  <c r="C42" i="29"/>
  <c r="D42" i="29"/>
  <c r="C41" i="29"/>
  <c r="C40" i="29"/>
  <c r="E40" i="29"/>
  <c r="C39" i="29"/>
  <c r="D30" i="29"/>
  <c r="D29" i="29"/>
  <c r="D28" i="29"/>
  <c r="D27" i="29"/>
  <c r="D26" i="29"/>
  <c r="D25" i="29"/>
  <c r="D24" i="29"/>
  <c r="C53" i="29" l="1"/>
  <c r="C59" i="29"/>
  <c r="D47" i="29"/>
  <c r="E44" i="29"/>
  <c r="E47" i="29"/>
  <c r="D41" i="29"/>
  <c r="C60" i="29" l="1"/>
  <c r="D22" i="29"/>
  <c r="D23" i="29"/>
  <c r="E56" i="29"/>
  <c r="E51" i="29"/>
  <c r="E50" i="29"/>
  <c r="E46" i="29"/>
  <c r="D40" i="29" l="1"/>
  <c r="D39" i="29"/>
  <c r="D49" i="29"/>
  <c r="E48" i="29"/>
  <c r="E41" i="29"/>
  <c r="E42" i="29" l="1"/>
  <c r="E52" i="29"/>
  <c r="D51" i="29"/>
  <c r="E49" i="29"/>
  <c r="E45" i="29"/>
  <c r="E30" i="29" l="1"/>
  <c r="E29" i="29" l="1"/>
  <c r="E22" i="29"/>
  <c r="E27" i="29" l="1"/>
  <c r="E28" i="29"/>
  <c r="E25" i="29" l="1"/>
  <c r="E26" i="29"/>
  <c r="E24" i="29"/>
  <c r="E43" i="29" l="1"/>
  <c r="E55" i="29"/>
  <c r="D21" i="29"/>
  <c r="D36" i="29" s="1"/>
  <c r="E54" i="29"/>
  <c r="D55" i="29"/>
  <c r="D59" i="29" s="1"/>
  <c r="E58" i="29"/>
  <c r="E21" i="29"/>
  <c r="E23" i="29"/>
  <c r="E36" i="29" l="1"/>
  <c r="F20" i="29" s="1"/>
  <c r="E38" i="29"/>
  <c r="D45" i="29"/>
  <c r="E39" i="29"/>
  <c r="E57" i="29"/>
  <c r="E59" i="29" s="1"/>
  <c r="D53" i="29" l="1"/>
  <c r="D60" i="29" s="1"/>
  <c r="E53" i="29"/>
  <c r="E60" i="29" l="1"/>
  <c r="F37" i="29"/>
</calcChain>
</file>

<file path=xl/sharedStrings.xml><?xml version="1.0" encoding="utf-8"?>
<sst xmlns="http://schemas.openxmlformats.org/spreadsheetml/2006/main" count="376" uniqueCount="200">
  <si>
    <t>نام پیمانکار</t>
  </si>
  <si>
    <t>شماره قرارداد</t>
  </si>
  <si>
    <t>عنوان پیمان</t>
  </si>
  <si>
    <t xml:space="preserve">مبلغ پیمان
( ریال)  </t>
  </si>
  <si>
    <t>آخرین وضعیت پروژه</t>
  </si>
  <si>
    <t>فعال</t>
  </si>
  <si>
    <t>تحویل موقت</t>
  </si>
  <si>
    <t>مبلغ آخرین صورت وضعیت</t>
  </si>
  <si>
    <t>خاتمه پیمان</t>
  </si>
  <si>
    <t>آراد پژوهان پاسارگاد</t>
  </si>
  <si>
    <t>ساگارت سیوند</t>
  </si>
  <si>
    <t>بام سرای تلاش</t>
  </si>
  <si>
    <t>اعتبارات</t>
  </si>
  <si>
    <t>عمرانی-داخلی</t>
  </si>
  <si>
    <t>داخلی</t>
  </si>
  <si>
    <t>روز</t>
  </si>
  <si>
    <t>الکتروصنعت شایلین</t>
  </si>
  <si>
    <t>آقای پرویز کرمی</t>
  </si>
  <si>
    <t>غرب برداشت</t>
  </si>
  <si>
    <t>ویستا گستر ارشیا</t>
  </si>
  <si>
    <t>تحویل زمین</t>
  </si>
  <si>
    <t>آزوان سازه آریا</t>
  </si>
  <si>
    <t>سال</t>
  </si>
  <si>
    <t>ماه</t>
  </si>
  <si>
    <t>ردیف</t>
  </si>
  <si>
    <t>17/4826</t>
  </si>
  <si>
    <t>مدت قرارداد(ماه)</t>
  </si>
  <si>
    <t>ثلاث باباجانی</t>
  </si>
  <si>
    <t>هرسین</t>
  </si>
  <si>
    <t>گیلانغرب</t>
  </si>
  <si>
    <t>زاگرس</t>
  </si>
  <si>
    <t>بیستون</t>
  </si>
  <si>
    <t>صحنه</t>
  </si>
  <si>
    <t>اسلام آباد</t>
  </si>
  <si>
    <t>سنقر</t>
  </si>
  <si>
    <t>قصر شیرین</t>
  </si>
  <si>
    <t>دالاهو</t>
  </si>
  <si>
    <t>روانسر</t>
  </si>
  <si>
    <t>جوانرود</t>
  </si>
  <si>
    <t>کنگاور</t>
  </si>
  <si>
    <t>مرصاد</t>
  </si>
  <si>
    <t>فرامان</t>
  </si>
  <si>
    <t>استان</t>
  </si>
  <si>
    <t>پاوه</t>
  </si>
  <si>
    <t>سرپل ذهاب</t>
  </si>
  <si>
    <t>کانی گستر بیستون</t>
  </si>
  <si>
    <t>آروين فرتاك عرش</t>
  </si>
  <si>
    <t>هماهنگ پيشرو صحنه</t>
  </si>
  <si>
    <t>جذب اعتبارات عمرانی-داخلی</t>
  </si>
  <si>
    <t>جذب اعتبارات داخلی</t>
  </si>
  <si>
    <t xml:space="preserve">فرامان </t>
  </si>
  <si>
    <t>جمع کل</t>
  </si>
  <si>
    <t>اسكان عمران بيستون</t>
  </si>
  <si>
    <t>برنا سايا آرتان</t>
  </si>
  <si>
    <t>سینا راه باختر</t>
  </si>
  <si>
    <t>سيويل ژيهات</t>
  </si>
  <si>
    <t>مبنا برق باختر</t>
  </si>
  <si>
    <t>آبراه توسعه پارس</t>
  </si>
  <si>
    <t>كوزران</t>
  </si>
  <si>
    <t>ايستا نيروي ماد</t>
  </si>
  <si>
    <t>عمرانی-ملي-داخلی</t>
  </si>
  <si>
    <t>جذب اعتبارات عمرانی ملي-داخلي</t>
  </si>
  <si>
    <t>اجراي عمليات روكش آسفالت قسمتي از خيابانهاي شهرك صنعتي صحنه</t>
  </si>
  <si>
    <t>سپيد خط غرب</t>
  </si>
  <si>
    <t>اجراي تكميل شبكه جمع آوري فاضلاب شهرك صنعتي دالاهو</t>
  </si>
  <si>
    <t>جمع هرچهار سال</t>
  </si>
  <si>
    <t xml:space="preserve">نكوپايا سازه باختر </t>
  </si>
  <si>
    <t xml:space="preserve"> اجراي قسمتي از شبكه توزيع آب شهرك صنعتي صحنه</t>
  </si>
  <si>
    <t>17/385</t>
  </si>
  <si>
    <t>17/265</t>
  </si>
  <si>
    <t>17/771</t>
  </si>
  <si>
    <t xml:space="preserve">شيدا سازان كرمانشاه  </t>
  </si>
  <si>
    <t>17/882</t>
  </si>
  <si>
    <t>اجراي خط گاز فولادي 10 اينچ  در شهرك صنعتي زاگرس</t>
  </si>
  <si>
    <t>17/1229</t>
  </si>
  <si>
    <t>اجراي بخشي از شبكه جمع آوري فاضلاب  شهرك مرزي قصر شيرين</t>
  </si>
  <si>
    <t>عمليات لكه گيري و روكش آسفالت برخي از معابر شهرك صنعتي فرامان</t>
  </si>
  <si>
    <t>راهسازي تا سطح ساب بيس ناحيه كارگاهي شهرك صنعتي هرسين</t>
  </si>
  <si>
    <t xml:space="preserve">جمع كل </t>
  </si>
  <si>
    <t>اجراي شبكه جمع آوري فاضلاب شهرك صنعتي زاگرس</t>
  </si>
  <si>
    <t>راهسازي تا سطح سابگريد ناحيه صنعتي كوزران</t>
  </si>
  <si>
    <t>فاز پنجم احداث پنج عدد سوله هاي كارگاهي با ديوار آجري در شهرك صنعتي زاگرس</t>
  </si>
  <si>
    <t>فاز ششم احداث پنج عدد سوله هاي كارگاهي با ديوار آجري در شهرك صنعتي زاگرس</t>
  </si>
  <si>
    <t>شاخص بناي بيكران</t>
  </si>
  <si>
    <t>17/1580</t>
  </si>
  <si>
    <t>17/1581</t>
  </si>
  <si>
    <t>ایمن تجهیز سهند</t>
  </si>
  <si>
    <t>17/1721</t>
  </si>
  <si>
    <t>اجرای گاز رسانی به زون برق شهرک صنعتی صحنه</t>
  </si>
  <si>
    <t>17/1359</t>
  </si>
  <si>
    <t>سروش بنای بیستون</t>
  </si>
  <si>
    <t>17/1457</t>
  </si>
  <si>
    <t>عملیات راهسازی تا سطح ساب بیس و اساس شهرک صنعتی مرزی قصر شیرین</t>
  </si>
  <si>
    <t>اجرای جوی و جدول شهرک صنعتی سرپل ذهاب</t>
  </si>
  <si>
    <t>عملیات راهسازی و آسفالت ناحیه کارگاهی و روکش آسفالت شهرک صنعتی سرپل ذهاب</t>
  </si>
  <si>
    <t>17/1893</t>
  </si>
  <si>
    <t>عملیت لکه گیری و آسفالت و عملیات خاکی تا سطح ساب بیس برخی از خیابانهای شهرک صنعتی روانسر</t>
  </si>
  <si>
    <t>17/1588</t>
  </si>
  <si>
    <t>17/1358</t>
  </si>
  <si>
    <t>17/1360</t>
  </si>
  <si>
    <t>17/1357</t>
  </si>
  <si>
    <t>راهسازي تا سطح ساب بيس ناحيه كارگاهي و جدولگذاري و هدايت آبهاي سطحي برخي از خيابانهاي شهرك صنعتي جوانرود</t>
  </si>
  <si>
    <t>17/1231</t>
  </si>
  <si>
    <t>17/2850</t>
  </si>
  <si>
    <t>راهسازي و روكش آسفالت برخي از معابر شهرك صنعتي فرامان</t>
  </si>
  <si>
    <t xml:space="preserve">راهسازي و روكش آسفالت برخي از معابرشهرك صنعتي پاوه </t>
  </si>
  <si>
    <t>17/3094</t>
  </si>
  <si>
    <t>صنعت برق پرتواحسان</t>
  </si>
  <si>
    <t>تست مجدد گاز ثلاث باباجاني</t>
  </si>
  <si>
    <t>راهسازي و آسفالت بخشي از معابر شهرك قصرشيرين</t>
  </si>
  <si>
    <t>17/1780</t>
  </si>
  <si>
    <t>احداث مخزن فولادی مرتفع 50 متر مکعبی ناحیه صنعتی کوزران</t>
  </si>
  <si>
    <t>17/3519</t>
  </si>
  <si>
    <t>راهسازی و روکش آسفالت یرخی از معابر شهرک صنعتی مرساد</t>
  </si>
  <si>
    <t>17/3719</t>
  </si>
  <si>
    <t>17/3836</t>
  </si>
  <si>
    <t>17/3720</t>
  </si>
  <si>
    <t>17/4082</t>
  </si>
  <si>
    <t>17/4322</t>
  </si>
  <si>
    <t>احداث پست هوایی 50 kva جهت نیرو رسانی به چاه آب جاده کرانی شهرک صنعتی زاگرس</t>
  </si>
  <si>
    <t>17/4594</t>
  </si>
  <si>
    <t>احداث پست هوایی 315 KVA جهت تامین برق تصفیه خانه و رفع حریم قسمتی از شبکه برق شهرک صنعتی زاگرس</t>
  </si>
  <si>
    <t>اجراي عمليات خاكي تا سطح ساب گريد بخش يك فاز سوم در شهرك صنعتي زاگرس</t>
  </si>
  <si>
    <t>17/6783</t>
  </si>
  <si>
    <t>مهندسين مشاور رشاب طرح</t>
  </si>
  <si>
    <t>حق الزحمه نظارت كارگاهي تصفيه خانه شهرك صنعتي زاگرس</t>
  </si>
  <si>
    <t>آزمایشگاه مکانیک خاک جاهد</t>
  </si>
  <si>
    <t>کنترل کیفیت کیفی پروژه های زیر سازی و روسازی معابر شهرکهای صنعتی استان</t>
  </si>
  <si>
    <t>اصلاح برج نوري و تبديل شبكه زميني به شبكه هوايي روشنايي معابر شهرك صنعتي صحنه</t>
  </si>
  <si>
    <t>آزمايشگاه خاك پي سنگ آسا</t>
  </si>
  <si>
    <t>17/ASA</t>
  </si>
  <si>
    <t>آزمايشگاه آزمون پالار</t>
  </si>
  <si>
    <t>17/APZ</t>
  </si>
  <si>
    <t>17/8485</t>
  </si>
  <si>
    <t>اجراي عمليات خاكي تا سطح سابگريد ناحيه صنعتي قوري چاي سنقر</t>
  </si>
  <si>
    <t>نصب 10 عدد شير آتش نشاني در شهركهاي صنعتي سطح استان كرمانشاه</t>
  </si>
  <si>
    <t>17/8769</t>
  </si>
  <si>
    <t>17/8789</t>
  </si>
  <si>
    <t>احداث دو عدد ديوار حايل بتني در شهرك صنعتي زاگرس</t>
  </si>
  <si>
    <t>17/8767</t>
  </si>
  <si>
    <t>عمليات احداث ساختمان و تجهيز چاه آب شماره 6 شهرك صنعتي زاگرس</t>
  </si>
  <si>
    <t>17/9214</t>
  </si>
  <si>
    <t>اصلاح و تكميل شبكه روشنايي معابر شهرك صنعتي قصر شيرين</t>
  </si>
  <si>
    <t>17/7218</t>
  </si>
  <si>
    <t>احداث شبكه روشنايي معابر بخشي از فاز توسعه شهرك صنعتي سنقر</t>
  </si>
  <si>
    <r>
      <t>احداث ايستگاه پمپاژ آب شهرك صنعتي زاگرس</t>
    </r>
    <r>
      <rPr>
        <sz val="14"/>
        <color theme="1"/>
        <rFont val="B Mitra"/>
        <charset val="178"/>
      </rPr>
      <t xml:space="preserve"> </t>
    </r>
  </si>
  <si>
    <t xml:space="preserve">پياب سازه گستر كرمانشاه     </t>
  </si>
  <si>
    <t>17/9363</t>
  </si>
  <si>
    <t>17/8770</t>
  </si>
  <si>
    <t>عمليات تهيه و نصب 300 عدد رينگ و دريچه كامپوزيت منهول فاضلاب در سطح استان</t>
  </si>
  <si>
    <t>اجراي شبكه آبياري فضاي سبز در شهرك صنعتي مرصاد</t>
  </si>
  <si>
    <t>ميهن سازه كلهر</t>
  </si>
  <si>
    <t>17/8713</t>
  </si>
  <si>
    <t>17/9928</t>
  </si>
  <si>
    <t>17/9540</t>
  </si>
  <si>
    <t xml:space="preserve">اجرای شبکه داخلی گاز فاز توسعه ناحیه صنعتی ثلاث باباجانی </t>
  </si>
  <si>
    <t>ماواسازان ماد</t>
  </si>
  <si>
    <t>17/9710</t>
  </si>
  <si>
    <t>اجرای گاز رسانی به ناحیه خدماتی شهرک صنعتی زاگرس</t>
  </si>
  <si>
    <t xml:space="preserve">طاق ساز بيستون      </t>
  </si>
  <si>
    <t xml:space="preserve"> احداث ساختمان آتش نشاني شهرك صنعتي هرسين</t>
  </si>
  <si>
    <t>نقشه آروين بارمان</t>
  </si>
  <si>
    <t>17/9833</t>
  </si>
  <si>
    <t>فاز هفتم احداث پنج عدد سوله هاي كارگاهي با ديوار آجري در شهرك صنعتي زاگرس</t>
  </si>
  <si>
    <t>17/jahed</t>
  </si>
  <si>
    <t>اجراي قسمتي از شبكه توزيع آب خيابان R3R شهرك صنعتي زاگرس</t>
  </si>
  <si>
    <t>17/10563</t>
  </si>
  <si>
    <t>17/11003</t>
  </si>
  <si>
    <t>احداث پنج عدد سوله هاي كارگاهي با ديوار آجري در شهرك صنعتي مرزي قصر شيرين</t>
  </si>
  <si>
    <t>راهسازي و آسفالت خيابان R3R  و ورودي فاز 40 هكتاري شهرك صنعتي زاگرس</t>
  </si>
  <si>
    <t>17/10915</t>
  </si>
  <si>
    <t xml:space="preserve"> عملیات کانال سنگی هدایت سیلاب فصلی از خروجی پل تا تصفیه خانه شهرک صنعتی سنقر</t>
  </si>
  <si>
    <t>17/11080</t>
  </si>
  <si>
    <t>فاز هشتم احداث پنج عدد سوله هاي كارگاهي با ديوار آجري در شهرك صنعتي زاگرس</t>
  </si>
  <si>
    <t>17/11110</t>
  </si>
  <si>
    <t>پيلارسازه</t>
  </si>
  <si>
    <t>اجراي عمليات راهسازي تا سطح ساب بيس بخشي از فاز 40 هكتاري و زون كارگاهي وناحيه كارگاهي شهرك صنعتي زاگرس</t>
  </si>
  <si>
    <t>جابجايي پست هوايي و اتوماسيون تابلو برق چاه آب ناحيه صنعتي دالاهو</t>
  </si>
  <si>
    <t>17/10343</t>
  </si>
  <si>
    <t>17/11275</t>
  </si>
  <si>
    <t>17/11079</t>
  </si>
  <si>
    <t>احداث شبكه روشنايي معابر قسمتي از خيابان R3R  در شهرك صنعتي زاگرس</t>
  </si>
  <si>
    <t>17/13999</t>
  </si>
  <si>
    <t>اجراي شبكه روسنايي معابر تكميلي فاز يك شهرك صنعتي زاگرس</t>
  </si>
  <si>
    <t>اجراي گاز رساني به ناحيه خدماتي شهرك صنعتي فرامان  و تهيه و نصب 15 فقره علمك گاز واحدهاي كارگاهي در شهرك صنعتي زاگرس</t>
  </si>
  <si>
    <t>شركت ساختماني آوات</t>
  </si>
  <si>
    <t>17/15338</t>
  </si>
  <si>
    <t>اسپرلوس بناي ماندگار</t>
  </si>
  <si>
    <t>17/15337</t>
  </si>
  <si>
    <t>احداث يكعدد ديوار حايل بتني جهت ايستگاه گاز در شهرك صنعتي زاگرس</t>
  </si>
  <si>
    <t>احداث و تكميل پست هوايي و اتوماسيون چاههاي آب شهرك صنعتي صحنه</t>
  </si>
  <si>
    <t>17/16802</t>
  </si>
  <si>
    <t>اصلاح شبكه روشنايي معابر ورودي و تامين برق سوله هاي كارگاهي شهرك صنعتي هرسين</t>
  </si>
  <si>
    <t>17/16801</t>
  </si>
  <si>
    <t>اجراي كابل خودنگهدار و رفع خاموشي شبكه روشنايي معابر شهرك صنعتي مرصاد</t>
  </si>
  <si>
    <t>تكميل  فاز توسعه ساختمان اداري شهرك صنعتي سنقر</t>
  </si>
  <si>
    <t>17/2497</t>
  </si>
  <si>
    <t>17/17300</t>
  </si>
  <si>
    <t>اجراي شبكه توزيع آب ناحيه كارگاهي شهرك صنعتي مرزي قصر شيرين</t>
  </si>
  <si>
    <t>17/17568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</si>
</sst>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Mitra"/>
      <charset val="178"/>
    </font>
    <font>
      <b/>
      <sz val="10"/>
      <color theme="1"/>
      <name val="B Mitra"/>
      <charset val="178"/>
    </font>
    <font>
      <b/>
      <sz val="14"/>
      <color theme="1"/>
      <name val="B Mitra"/>
      <charset val="178"/>
    </font>
    <font>
      <sz val="11"/>
      <color theme="1"/>
      <name val="Arial"/>
      <family val="2"/>
      <charset val="178"/>
    </font>
    <font>
      <b/>
      <sz val="22"/>
      <color theme="1"/>
      <name val="B Mitra"/>
      <charset val="178"/>
    </font>
    <font>
      <b/>
      <sz val="12"/>
      <color theme="1"/>
      <name val="B Titr"/>
      <charset val="178"/>
    </font>
    <font>
      <b/>
      <sz val="18"/>
      <color theme="1"/>
      <name val="B Mitra"/>
      <charset val="178"/>
    </font>
    <font>
      <b/>
      <sz val="20"/>
      <color theme="1"/>
      <name val="B Mitra"/>
      <charset val="178"/>
    </font>
    <font>
      <b/>
      <sz val="11"/>
      <name val="B Mitra"/>
      <charset val="178"/>
    </font>
    <font>
      <b/>
      <sz val="26"/>
      <color theme="1"/>
      <name val="B Mitra"/>
      <charset val="178"/>
    </font>
    <font>
      <b/>
      <sz val="24"/>
      <color theme="1"/>
      <name val="B Mitra"/>
      <charset val="178"/>
    </font>
    <font>
      <sz val="20"/>
      <color theme="1"/>
      <name val="B Titr"/>
      <charset val="178"/>
    </font>
    <font>
      <sz val="14"/>
      <color theme="1"/>
      <name val="B Titr"/>
      <charset val="178"/>
    </font>
    <font>
      <sz val="16"/>
      <color theme="1"/>
      <name val="B Titr"/>
      <charset val="178"/>
    </font>
    <font>
      <sz val="22"/>
      <color theme="1"/>
      <name val="B Titr"/>
      <charset val="178"/>
    </font>
    <font>
      <sz val="20"/>
      <color theme="1"/>
      <name val="B Mitra"/>
      <charset val="178"/>
    </font>
    <font>
      <sz val="18"/>
      <color theme="1"/>
      <name val="B Titr"/>
      <charset val="178"/>
    </font>
    <font>
      <sz val="26"/>
      <color theme="1"/>
      <name val="B Titr"/>
      <charset val="178"/>
    </font>
    <font>
      <sz val="28"/>
      <color theme="1"/>
      <name val="B Titr"/>
      <charset val="178"/>
    </font>
    <font>
      <sz val="14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0" fillId="0" borderId="5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2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justify"/>
    </xf>
    <xf numFmtId="0" fontId="7" fillId="2" borderId="14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11" fillId="3" borderId="7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11" fillId="3" borderId="5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3" fontId="12" fillId="3" borderId="5" xfId="1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12" fillId="3" borderId="17" xfId="1" applyNumberFormat="1" applyFont="1" applyFill="1" applyBorder="1" applyAlignment="1">
      <alignment horizontal="center" vertical="center"/>
    </xf>
    <xf numFmtId="0" fontId="0" fillId="0" borderId="11" xfId="0" applyBorder="1"/>
    <xf numFmtId="3" fontId="12" fillId="3" borderId="15" xfId="1" applyNumberFormat="1" applyFont="1" applyFill="1" applyBorder="1" applyAlignment="1">
      <alignment horizontal="center" vertical="center"/>
    </xf>
    <xf numFmtId="0" fontId="0" fillId="4" borderId="0" xfId="0" applyFill="1"/>
    <xf numFmtId="0" fontId="11" fillId="3" borderId="10" xfId="0" applyFont="1" applyFill="1" applyBorder="1" applyAlignment="1">
      <alignment horizontal="center" vertical="center" wrapText="1"/>
    </xf>
    <xf numFmtId="0" fontId="0" fillId="0" borderId="22" xfId="0" applyBorder="1"/>
    <xf numFmtId="0" fontId="18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3" fontId="12" fillId="3" borderId="9" xfId="1" applyNumberFormat="1" applyFont="1" applyFill="1" applyBorder="1" applyAlignment="1">
      <alignment horizontal="center" vertical="center"/>
    </xf>
    <xf numFmtId="3" fontId="8" fillId="3" borderId="5" xfId="1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3" fontId="13" fillId="4" borderId="21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19" fillId="3" borderId="19" xfId="0" applyFont="1" applyFill="1" applyBorder="1" applyAlignment="1">
      <alignment horizontal="center" vertical="center" textRotation="90"/>
    </xf>
    <xf numFmtId="3" fontId="13" fillId="5" borderId="21" xfId="0" applyNumberFormat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center" vertical="center"/>
    </xf>
    <xf numFmtId="3" fontId="12" fillId="3" borderId="6" xfId="1" applyNumberFormat="1" applyFont="1" applyFill="1" applyBorder="1" applyAlignment="1">
      <alignment horizontal="center" vertical="center"/>
    </xf>
    <xf numFmtId="3" fontId="12" fillId="3" borderId="25" xfId="1" applyNumberFormat="1" applyFont="1" applyFill="1" applyBorder="1" applyAlignment="1">
      <alignment horizontal="center" vertical="center"/>
    </xf>
    <xf numFmtId="3" fontId="12" fillId="3" borderId="8" xfId="1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8" fillId="3" borderId="10" xfId="1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textRotation="90"/>
    </xf>
    <xf numFmtId="0" fontId="16" fillId="0" borderId="24" xfId="0" applyFont="1" applyBorder="1" applyAlignment="1">
      <alignment horizontal="center" vertical="center" textRotation="90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19" fillId="0" borderId="24" xfId="0" applyFont="1" applyBorder="1" applyAlignment="1">
      <alignment horizontal="center" vertical="center" textRotation="90"/>
    </xf>
    <xf numFmtId="3" fontId="20" fillId="3" borderId="5" xfId="0" applyNumberFormat="1" applyFont="1" applyFill="1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rightToLeft="1" view="pageBreakPreview" zoomScale="60" workbookViewId="0">
      <selection activeCell="F2" sqref="F2:F19"/>
    </sheetView>
  </sheetViews>
  <sheetFormatPr defaultRowHeight="15"/>
  <cols>
    <col min="1" max="1" width="19.140625" bestFit="1" customWidth="1"/>
    <col min="2" max="2" width="16.42578125" customWidth="1"/>
    <col min="3" max="3" width="39.42578125" customWidth="1"/>
    <col min="4" max="4" width="35.42578125" customWidth="1"/>
    <col min="5" max="5" width="37" customWidth="1"/>
    <col min="6" max="6" width="38.85546875" customWidth="1"/>
  </cols>
  <sheetData>
    <row r="1" spans="1:6" ht="33" thickBot="1">
      <c r="B1" s="36"/>
      <c r="C1" s="36" t="s">
        <v>61</v>
      </c>
      <c r="D1" s="37" t="s">
        <v>48</v>
      </c>
      <c r="E1" s="36" t="s">
        <v>49</v>
      </c>
      <c r="F1" s="50" t="s">
        <v>78</v>
      </c>
    </row>
    <row r="2" spans="1:6" ht="36.75">
      <c r="A2" s="81">
        <v>1402</v>
      </c>
      <c r="B2" s="50" t="s">
        <v>42</v>
      </c>
      <c r="C2" s="30" t="e">
        <f>SUMIFS('قراردادهای 1402'!#REF!,'قراردادهای 1402'!#REF!,"استان",'قراردادهای 1402'!R:R,"عمرانی-ملي-داخلی")</f>
        <v>#REF!</v>
      </c>
      <c r="D2" s="30" t="e">
        <f>SUMIFS('قراردادهای 1402'!#REF!,'قراردادهای 1402'!#REF!,"استان",'قراردادهای 1402'!R:R,"عمرانی-داخلی")</f>
        <v>#REF!</v>
      </c>
      <c r="E2" s="64" t="e">
        <f>SUMIFS('قراردادهای 1402'!#REF!,'قراردادهای 1402'!#REF!,"استان",'قراردادهای 1402'!R:R,"داخلی")</f>
        <v>#REF!</v>
      </c>
      <c r="F2" s="85" t="e">
        <f>E19+D19+C19</f>
        <v>#REF!</v>
      </c>
    </row>
    <row r="3" spans="1:6" ht="36.75">
      <c r="A3" s="82"/>
      <c r="B3" s="38" t="s">
        <v>30</v>
      </c>
      <c r="C3" s="30" t="e">
        <f>SUMIFS('قراردادهای 1402'!#REF!,'قراردادهای 1402'!#REF!,"زاگرس",'قراردادهای 1402'!R:R,"عمرانی-ملي-داخلی")</f>
        <v>#REF!</v>
      </c>
      <c r="D3" s="30" t="e">
        <f>SUMIFS('قراردادهای 1402'!#REF!,'قراردادهای 1402'!#REF!,"زاگرس",'قراردادهای 1402'!R:R,"عمرانی-داخلی")</f>
        <v>#REF!</v>
      </c>
      <c r="E3" s="64" t="e">
        <f>SUMIFS('قراردادهای 1402'!#REF!,'قراردادهای 1402'!#REF!,"زاگرس",'قراردادهای 1402'!R:R,"داخلی")</f>
        <v>#REF!</v>
      </c>
      <c r="F3" s="85"/>
    </row>
    <row r="4" spans="1:6" ht="36.75">
      <c r="A4" s="82"/>
      <c r="B4" s="38" t="s">
        <v>37</v>
      </c>
      <c r="C4" s="30" t="e">
        <f>SUMIFS('قراردادهای 1402'!#REF!,'قراردادهای 1402'!#REF!,"روانسر",'قراردادهای 1402'!R:R,"عمرانی-ملي-داخلی")</f>
        <v>#REF!</v>
      </c>
      <c r="D4" s="30" t="e">
        <f>SUMIFS('قراردادهای 1402'!#REF!,'قراردادهای 1402'!#REF!,"روانسر",'قراردادهای 1402'!R:R,"عمرانی-داخلی")</f>
        <v>#REF!</v>
      </c>
      <c r="E4" s="64" t="e">
        <f>SUMIFS('قراردادهای 1402'!#REF!,'قراردادهای 1402'!#REF!,"روانسر",'قراردادهای 1402'!R:R,"داخلی")</f>
        <v>#REF!</v>
      </c>
      <c r="F4" s="85"/>
    </row>
    <row r="5" spans="1:6" ht="36.75">
      <c r="A5" s="82"/>
      <c r="B5" s="38" t="s">
        <v>34</v>
      </c>
      <c r="C5" s="30" t="e">
        <f>SUMIFS('قراردادهای 1402'!#REF!,'قراردادهای 1402'!#REF!,"سنقر",'قراردادهای 1402'!R:R,"عمرانی-ملي-داخلی")</f>
        <v>#REF!</v>
      </c>
      <c r="D5" s="30" t="e">
        <f>SUMIFS('قراردادهای 1402'!#REF!,'قراردادهای 1402'!#REF!,"سنقر",'قراردادهای 1402'!R:R,"عمرانی-داخلی")</f>
        <v>#REF!</v>
      </c>
      <c r="E5" s="64" t="e">
        <f>SUMIFS('قراردادهای 1402'!#REF!,'قراردادهای 1402'!#REF!,"سنقر",'قراردادهای 1402'!R:R,"داخلی")</f>
        <v>#REF!</v>
      </c>
      <c r="F5" s="85"/>
    </row>
    <row r="6" spans="1:6" ht="36.75">
      <c r="A6" s="82"/>
      <c r="B6" s="38" t="s">
        <v>38</v>
      </c>
      <c r="C6" s="30" t="e">
        <f>SUMIFS('قراردادهای 1402'!#REF!,'قراردادهای 1402'!#REF!,"جوانرود",'قراردادهای 1402'!R:R,"عمرانی-ملي-داخلی")</f>
        <v>#REF!</v>
      </c>
      <c r="D6" s="30" t="e">
        <f>SUMIFS('قراردادهای 1402'!#REF!,'قراردادهای 1402'!#REF!,"جوانرود",'قراردادهای 1402'!R:R,"عمرانی-داخلی")</f>
        <v>#REF!</v>
      </c>
      <c r="E6" s="64" t="e">
        <f>SUMIFS('قراردادهای 1402'!#REF!,'قراردادهای 1402'!#REF!,"جوانرود",'قراردادهای 1402'!R:R,"داخلی")</f>
        <v>#REF!</v>
      </c>
      <c r="F6" s="85"/>
    </row>
    <row r="7" spans="1:6" ht="36.75">
      <c r="A7" s="82"/>
      <c r="B7" s="38" t="s">
        <v>39</v>
      </c>
      <c r="C7" s="30" t="e">
        <f>SUMIFS('قراردادهای 1402'!#REF!,'قراردادهای 1402'!#REF!,"کنگاور",'قراردادهای 1402'!R:R,"عمرانی-ملي-داخلی")</f>
        <v>#REF!</v>
      </c>
      <c r="D7" s="30" t="e">
        <f>SUMIFS('قراردادهای 1402'!#REF!,'قراردادهای 1402'!#REF!,"کنگاور",'قراردادهای 1402'!R:R,"عمرانی-داخلی")</f>
        <v>#REF!</v>
      </c>
      <c r="E7" s="64" t="e">
        <f>SUMIFS('قراردادهای 1402'!#REF!,'قراردادهای 1402'!#REF!,"کنگاور",'قراردادهای 1402'!R:R,"داخلی")</f>
        <v>#REF!</v>
      </c>
      <c r="F7" s="85"/>
    </row>
    <row r="8" spans="1:6" ht="36.75">
      <c r="A8" s="82"/>
      <c r="B8" s="38" t="s">
        <v>28</v>
      </c>
      <c r="C8" s="30" t="e">
        <f>SUMIFS('قراردادهای 1402'!#REF!,'قراردادهای 1402'!#REF!,"هرسين",'قراردادهای 1402'!R:R,"عمرانی-ملي-داخلی")</f>
        <v>#REF!</v>
      </c>
      <c r="D8" s="30" t="e">
        <f>SUMIFS('قراردادهای 1402'!#REF!,'قراردادهای 1402'!#REF!,"هرسين",'قراردادهای 1402'!R:R,"عمرانی-داخلی")</f>
        <v>#REF!</v>
      </c>
      <c r="E8" s="64" t="e">
        <f>SUMIFS('قراردادهای 1402'!#REF!,'قراردادهای 1402'!#REF!,"هرسين",'قراردادهای 1402'!R:R,"داخلی")</f>
        <v>#REF!</v>
      </c>
      <c r="F8" s="85"/>
    </row>
    <row r="9" spans="1:6" ht="36.75">
      <c r="A9" s="82"/>
      <c r="B9" s="38" t="s">
        <v>50</v>
      </c>
      <c r="C9" s="30" t="e">
        <f>SUMIFS('قراردادهای 1402'!#REF!,'قراردادهای 1402'!#REF!,"فرامان",'قراردادهای 1402'!R:R,"عمرانی-ملي-داخلی")</f>
        <v>#REF!</v>
      </c>
      <c r="D9" s="30" t="e">
        <f>SUMIFS('قراردادهای 1402'!#REF!,'قراردادهای 1402'!#REF!,"فرامان",'قراردادهای 1402'!R:R,"عمرانی-داخلی")</f>
        <v>#REF!</v>
      </c>
      <c r="E9" s="64" t="e">
        <f>SUMIFS('قراردادهای 1402'!#REF!,'قراردادهای 1402'!#REF!,"فرامان",'قراردادهای 1402'!R:R,"داخلی")</f>
        <v>#REF!</v>
      </c>
      <c r="F9" s="85"/>
    </row>
    <row r="10" spans="1:6" ht="36.75">
      <c r="A10" s="82"/>
      <c r="B10" s="38" t="s">
        <v>31</v>
      </c>
      <c r="C10" s="30" t="e">
        <f>SUMIFS('قراردادهای 1402'!#REF!,'قراردادهای 1402'!#REF!,"بيستون",'قراردادهای 1402'!R:R,"عمرانی-ملي-داخلی")</f>
        <v>#REF!</v>
      </c>
      <c r="D10" s="30" t="e">
        <f>SUMIFS('قراردادهای 1402'!#REF!,'قراردادهای 1402'!#REF!,"بيستون",'قراردادهای 1402'!R:R,"عمرانی-داخلی")</f>
        <v>#REF!</v>
      </c>
      <c r="E10" s="64" t="e">
        <f>SUMIFS('قراردادهای 1402'!#REF!,'قراردادهای 1402'!#REF!,"بيستون",'قراردادهای 1402'!R:R,"داخلی")</f>
        <v>#REF!</v>
      </c>
      <c r="F10" s="85"/>
    </row>
    <row r="11" spans="1:6" ht="36.75">
      <c r="A11" s="82"/>
      <c r="B11" s="38" t="s">
        <v>27</v>
      </c>
      <c r="C11" s="30" t="e">
        <f>SUMIFS('قراردادهای 1402'!#REF!,'قراردادهای 1402'!#REF!,"ثلاث باباجاني",'قراردادهای 1402'!R:R,"عمرانی-ملي-داخلی")</f>
        <v>#REF!</v>
      </c>
      <c r="D11" s="30" t="e">
        <f>SUMIFS('قراردادهای 1402'!#REF!,'قراردادهای 1402'!#REF!,"ثلاث باباجاني",'قراردادهای 1402'!R:R,"عمرانی-داخلی")</f>
        <v>#REF!</v>
      </c>
      <c r="E11" s="64" t="e">
        <f>SUMIFS('قراردادهای 1402'!#REF!,'قراردادهای 1402'!#REF!,"ثلاث باباجاني",'قراردادهای 1402'!R:R,"داخلی")</f>
        <v>#REF!</v>
      </c>
      <c r="F11" s="85"/>
    </row>
    <row r="12" spans="1:6" ht="36.75">
      <c r="A12" s="82"/>
      <c r="B12" s="38" t="s">
        <v>43</v>
      </c>
      <c r="C12" s="30" t="e">
        <f>SUMIFS('قراردادهای 1402'!#REF!,'قراردادهای 1402'!#REF!,"پاوه",'قراردادهای 1402'!R:R,"عمرانی-ملي-داخلی")</f>
        <v>#REF!</v>
      </c>
      <c r="D12" s="30" t="e">
        <f>SUMIFS('قراردادهای 1402'!#REF!,'قراردادهای 1402'!#REF!,"پاوه",'قراردادهای 1402'!R:R,"عمرانی-داخلی")</f>
        <v>#REF!</v>
      </c>
      <c r="E12" s="64" t="e">
        <f>SUMIFS('قراردادهای 1402'!#REF!,'قراردادهای 1402'!#REF!,"پاوه",'قراردادهای 1402'!R:R,"داخلی")</f>
        <v>#REF!</v>
      </c>
      <c r="F12" s="85"/>
    </row>
    <row r="13" spans="1:6" ht="36.75">
      <c r="A13" s="82"/>
      <c r="B13" s="38" t="s">
        <v>40</v>
      </c>
      <c r="C13" s="30" t="e">
        <f>SUMIFS('قراردادهای 1402'!#REF!,'قراردادهای 1402'!#REF!,"مرصاد",'قراردادهای 1402'!R:R,"عمرانی-ملي-داخلی")</f>
        <v>#REF!</v>
      </c>
      <c r="D13" s="30" t="e">
        <f>SUMIFS('قراردادهای 1402'!#REF!,'قراردادهای 1402'!#REF!,"مرصاد",'قراردادهای 1402'!R:R,"عمرانی-داخلی")</f>
        <v>#REF!</v>
      </c>
      <c r="E13" s="64" t="e">
        <f>SUMIFS('قراردادهای 1402'!#REF!,'قراردادهای 1402'!#REF!,"مرصاد",'قراردادهای 1402'!R:R,"داخلی")</f>
        <v>#REF!</v>
      </c>
      <c r="F13" s="85"/>
    </row>
    <row r="14" spans="1:6" ht="36.75">
      <c r="A14" s="82"/>
      <c r="B14" s="38" t="s">
        <v>58</v>
      </c>
      <c r="C14" s="30" t="e">
        <f>SUMIFS('قراردادهای 1402'!#REF!,'قراردادهای 1402'!#REF!,"كوزران",'قراردادهای 1402'!R:R,"عمرانی-ملي-داخلی")</f>
        <v>#REF!</v>
      </c>
      <c r="D14" s="30" t="e">
        <f>SUMIFS('قراردادهای 1402'!#REF!,'قراردادهای 1402'!#REF!,"كوزران",'قراردادهای 1402'!R:R,"عمرانی-داخلی")</f>
        <v>#REF!</v>
      </c>
      <c r="E14" s="64" t="e">
        <f>SUMIFS('قراردادهای 1402'!#REF!,'قراردادهای 1402'!#REF!,"كوزران",'قراردادهای 1402'!R:R,"داخلی")</f>
        <v>#REF!</v>
      </c>
      <c r="F14" s="85"/>
    </row>
    <row r="15" spans="1:6" ht="36.75">
      <c r="A15" s="82"/>
      <c r="B15" s="38" t="s">
        <v>36</v>
      </c>
      <c r="C15" s="30" t="e">
        <f>SUMIFS('قراردادهای 1402'!#REF!,'قراردادهای 1402'!#REF!,"دالاهو",'قراردادهای 1402'!R:R,"عمرانی-ملي-داخلی")</f>
        <v>#REF!</v>
      </c>
      <c r="D15" s="30" t="e">
        <f>SUMIFS('قراردادهای 1402'!#REF!,'قراردادهای 1402'!#REF!,"دالاهو",'قراردادهای 1402'!R:R,"عمرانی-داخلی")</f>
        <v>#REF!</v>
      </c>
      <c r="E15" s="64" t="e">
        <f>SUMIFS('قراردادهای 1402'!#REF!,'قراردادهای 1402'!#REF!,"دالاهو",'قراردادهای 1402'!R:R,"داخلی")</f>
        <v>#REF!</v>
      </c>
      <c r="F15" s="85"/>
    </row>
    <row r="16" spans="1:6" ht="36.75">
      <c r="A16" s="82"/>
      <c r="B16" s="38" t="s">
        <v>35</v>
      </c>
      <c r="C16" s="30" t="e">
        <f>SUMIFS('قراردادهای 1402'!#REF!,'قراردادهای 1402'!#REF!,"قصر شیرین",'قراردادهای 1402'!R:R,"عمرانی-ملي-داخلی")</f>
        <v>#REF!</v>
      </c>
      <c r="D16" s="30" t="e">
        <f>SUMIFS('قراردادهای 1402'!#REF!,'قراردادهای 1402'!#REF!,"قصر شیرین",'قراردادهای 1402'!R:R,"عمرانی-داخلی")</f>
        <v>#REF!</v>
      </c>
      <c r="E16" s="64" t="e">
        <f>SUMIFS('قراردادهای 1402'!#REF!,'قراردادهای 1402'!#REF!,"قصر شیرین",'قراردادهای 1402'!R:R,"داخلی")</f>
        <v>#REF!</v>
      </c>
      <c r="F16" s="85"/>
    </row>
    <row r="17" spans="1:10" ht="36.75">
      <c r="A17" s="82"/>
      <c r="B17" s="38" t="s">
        <v>44</v>
      </c>
      <c r="C17" s="30" t="e">
        <f>SUMIFS('قراردادهای 1402'!#REF!,'قراردادهای 1402'!#REF!,"سرپل ذهاب",'قراردادهای 1402'!R:R,"عمرانی-ملي-داخلی")</f>
        <v>#REF!</v>
      </c>
      <c r="D17" s="30" t="e">
        <f>SUMIFS('قراردادهای 1402'!#REF!,'قراردادهای 1402'!#REF!,"سرپل ذهاب",'قراردادهای 1402'!R:R,"عمرانی-داخلی")</f>
        <v>#REF!</v>
      </c>
      <c r="E17" s="64" t="e">
        <f>SUMIFS('قراردادهای 1402'!#REF!,'قراردادهای 1402'!#REF!,"سرپل ذهاب",'قراردادهای 1402'!R:R,"داخلی")</f>
        <v>#REF!</v>
      </c>
      <c r="F17" s="85"/>
    </row>
    <row r="18" spans="1:10" ht="37.5" thickBot="1">
      <c r="A18" s="82"/>
      <c r="B18" s="38" t="s">
        <v>32</v>
      </c>
      <c r="C18" s="30" t="e">
        <f>SUMIFS('قراردادهای 1402'!#REF!,'قراردادهای 1402'!#REF!,"صحنه",'قراردادهای 1402'!R:R,"عمرانی-ملي-داخلی")</f>
        <v>#REF!</v>
      </c>
      <c r="D18" s="30" t="e">
        <f>SUMIFS('قراردادهای 1402'!#REF!,'قراردادهای 1402'!#REF!,"صحنه",'قراردادهای 1402'!R:R,"عمرانی-داخلی")</f>
        <v>#REF!</v>
      </c>
      <c r="E18" s="64" t="e">
        <f>SUMIFS('قراردادهای 1402'!#REF!,'قراردادهای 1402'!#REF!,"صحنه",'قراردادهای 1402'!R:R,"داخلی")</f>
        <v>#REF!</v>
      </c>
      <c r="F18" s="85"/>
    </row>
    <row r="19" spans="1:10" ht="41.25" thickBot="1">
      <c r="A19" s="61"/>
      <c r="B19" s="55" t="s">
        <v>51</v>
      </c>
      <c r="C19" s="56" t="e">
        <f>SUM(C2:C18)</f>
        <v>#REF!</v>
      </c>
      <c r="D19" s="57" t="e">
        <f>SUM(D2:D18)</f>
        <v>#REF!</v>
      </c>
      <c r="E19" s="57" t="e">
        <f>SUM(E2:E18)</f>
        <v>#REF!</v>
      </c>
      <c r="F19" s="85"/>
    </row>
    <row r="20" spans="1:10" ht="37.5" customHeight="1">
      <c r="A20" s="81">
        <v>1401</v>
      </c>
      <c r="B20" s="50" t="s">
        <v>42</v>
      </c>
      <c r="C20" s="53" t="e">
        <f>SUMIFS(#REF!,#REF!,"استان",#REF!,"عمرانی-ملي-داخلی")</f>
        <v>#REF!</v>
      </c>
      <c r="D20" s="30" t="e">
        <f>SUMIFS(#REF!,#REF!,"استان",#REF!,"عمرانی-داخلی")</f>
        <v>#REF!</v>
      </c>
      <c r="E20" s="64" t="e">
        <f>SUMIFS(#REF!,#REF!,"استان",#REF!,"داخلی")</f>
        <v>#REF!</v>
      </c>
      <c r="F20" s="85" t="e">
        <f>E36+D36+C36</f>
        <v>#REF!</v>
      </c>
    </row>
    <row r="21" spans="1:10" ht="25.15" customHeight="1">
      <c r="A21" s="82"/>
      <c r="B21" s="38" t="s">
        <v>30</v>
      </c>
      <c r="C21" s="30" t="e">
        <f>SUMIFS(#REF!,#REF!,"زاگرس",#REF!,"عمرانی-ملي-داخلی")</f>
        <v>#REF!</v>
      </c>
      <c r="D21" s="30" t="e">
        <f>SUMIFS(#REF!,#REF!,"زاگرس",#REF!,"عمرانی-داخلی")</f>
        <v>#REF!</v>
      </c>
      <c r="E21" s="64" t="e">
        <f>SUMIFS(#REF!,#REF!,"زاگرس",#REF!,"داخلی")</f>
        <v>#REF!</v>
      </c>
      <c r="F21" s="85"/>
      <c r="J21" s="45"/>
    </row>
    <row r="22" spans="1:10" ht="25.15" customHeight="1">
      <c r="A22" s="82"/>
      <c r="B22" s="38" t="s">
        <v>37</v>
      </c>
      <c r="C22" s="30" t="e">
        <f>SUMIFS(#REF!,#REF!,"روانسر",#REF!,"عمرانی-ملي-داخلی")</f>
        <v>#REF!</v>
      </c>
      <c r="D22" s="30" t="e">
        <f>SUMIFS(#REF!,#REF!,"روانسر",#REF!,"عمرانی-داخلی")</f>
        <v>#REF!</v>
      </c>
      <c r="E22" s="64" t="e">
        <f>SUMIFS(#REF!,#REF!,"روانسر",#REF!,"داخلی")</f>
        <v>#REF!</v>
      </c>
      <c r="F22" s="85"/>
    </row>
    <row r="23" spans="1:10" ht="25.15" customHeight="1">
      <c r="A23" s="82"/>
      <c r="B23" s="38" t="s">
        <v>34</v>
      </c>
      <c r="C23" s="30" t="e">
        <f>SUMIFS(#REF!,#REF!,"سنقر",#REF!,"عمرانی-ملي-داخلی")</f>
        <v>#REF!</v>
      </c>
      <c r="D23" s="30" t="e">
        <f>SUMIFS(#REF!,#REF!,"سنقر",#REF!,"عمرانی-داخلی")</f>
        <v>#REF!</v>
      </c>
      <c r="E23" s="64" t="e">
        <f>SUMIFS(#REF!,#REF!,"سنقر",#REF!,"داخلی")</f>
        <v>#REF!</v>
      </c>
      <c r="F23" s="85"/>
    </row>
    <row r="24" spans="1:10" ht="25.15" customHeight="1">
      <c r="A24" s="82"/>
      <c r="B24" s="38" t="s">
        <v>38</v>
      </c>
      <c r="C24" s="30" t="e">
        <f>SUMIFS(#REF!,#REF!,"جوانرود",#REF!,"عمرانی-ملي-داخلی")</f>
        <v>#REF!</v>
      </c>
      <c r="D24" s="30" t="e">
        <f>SUMIFS(#REF!,#REF!,"جوانرود",#REF!,"عمرانی-داخلی")</f>
        <v>#REF!</v>
      </c>
      <c r="E24" s="64" t="e">
        <f>SUMIFS(#REF!,#REF!,"جوانرود",#REF!,"داخلی")</f>
        <v>#REF!</v>
      </c>
      <c r="F24" s="85"/>
    </row>
    <row r="25" spans="1:10" ht="25.15" customHeight="1">
      <c r="A25" s="82"/>
      <c r="B25" s="38" t="s">
        <v>39</v>
      </c>
      <c r="C25" s="30" t="e">
        <f>SUMIFS(#REF!,#REF!,"کنگاور",#REF!,"عمرانی-ملي-داخلی")</f>
        <v>#REF!</v>
      </c>
      <c r="D25" s="30" t="e">
        <f>SUMIFS(#REF!,#REF!,"کنگاور",#REF!,"عمرانی-داخلی")</f>
        <v>#REF!</v>
      </c>
      <c r="E25" s="64" t="e">
        <f>SUMIFS(#REF!,#REF!,"کنگاور",#REF!,"داخلی")</f>
        <v>#REF!</v>
      </c>
      <c r="F25" s="85"/>
    </row>
    <row r="26" spans="1:10" ht="25.15" customHeight="1">
      <c r="A26" s="82"/>
      <c r="B26" s="38" t="s">
        <v>28</v>
      </c>
      <c r="C26" s="30" t="e">
        <f>SUMIFS(#REF!,#REF!,"هرسين",#REF!,"عمرانی-ملي-داخلی")</f>
        <v>#REF!</v>
      </c>
      <c r="D26" s="30" t="e">
        <f>SUMIFS(#REF!,#REF!,"هرسين",#REF!,"عمرانی-داخلی")</f>
        <v>#REF!</v>
      </c>
      <c r="E26" s="64" t="e">
        <f>SUMIFS(#REF!,#REF!,"هرسين",#REF!,"داخلی")</f>
        <v>#REF!</v>
      </c>
      <c r="F26" s="85"/>
    </row>
    <row r="27" spans="1:10" ht="25.15" customHeight="1">
      <c r="A27" s="82"/>
      <c r="B27" s="38" t="s">
        <v>50</v>
      </c>
      <c r="C27" s="30" t="e">
        <f>SUMIFS(#REF!,#REF!,"فرامان",#REF!,"عمرانی-ملي-داخلی")</f>
        <v>#REF!</v>
      </c>
      <c r="D27" s="30" t="e">
        <f>SUMIFS(#REF!,#REF!,"فرامان",#REF!,"عمرانی-داخلی")</f>
        <v>#REF!</v>
      </c>
      <c r="E27" s="64" t="e">
        <f>SUMIFS(#REF!,#REF!,"فرامان",#REF!,"داخلی")</f>
        <v>#REF!</v>
      </c>
      <c r="F27" s="85"/>
    </row>
    <row r="28" spans="1:10" ht="25.15" customHeight="1">
      <c r="A28" s="82"/>
      <c r="B28" s="38" t="s">
        <v>31</v>
      </c>
      <c r="C28" s="30" t="e">
        <f>SUMIFS(#REF!,#REF!,"بيستون",#REF!,"عمرانی-ملي-داخلی")</f>
        <v>#REF!</v>
      </c>
      <c r="D28" s="30" t="e">
        <f>SUMIFS(#REF!,#REF!,"بيستون",#REF!,"عمرانی-داخلی")</f>
        <v>#REF!</v>
      </c>
      <c r="E28" s="64" t="e">
        <f>SUMIFS(#REF!,#REF!,"بيستون",#REF!,"داخلی")</f>
        <v>#REF!</v>
      </c>
      <c r="F28" s="85"/>
    </row>
    <row r="29" spans="1:10" ht="25.15" customHeight="1">
      <c r="A29" s="82"/>
      <c r="B29" s="38" t="s">
        <v>27</v>
      </c>
      <c r="C29" s="30" t="e">
        <f>SUMIFS(#REF!,#REF!,"ثلاث باباجاني",#REF!,"عمرانی-ملي-داخلی")</f>
        <v>#REF!</v>
      </c>
      <c r="D29" s="30" t="e">
        <f>SUMIFS(#REF!,#REF!,"ثلاث باباجاني",#REF!,"عمرانی-داخلی")</f>
        <v>#REF!</v>
      </c>
      <c r="E29" s="64" t="e">
        <f>SUMIFS(#REF!,#REF!,"ثلاث باباجاني",#REF!,"داخلی")</f>
        <v>#REF!</v>
      </c>
      <c r="F29" s="85"/>
    </row>
    <row r="30" spans="1:10" ht="25.15" customHeight="1">
      <c r="A30" s="82"/>
      <c r="B30" s="38" t="s">
        <v>43</v>
      </c>
      <c r="C30" s="30" t="e">
        <f>SUMIFS(#REF!,#REF!,"پاوه",#REF!,"عمرانی-ملي-داخلی")</f>
        <v>#REF!</v>
      </c>
      <c r="D30" s="30" t="e">
        <f>SUMIFS(#REF!,#REF!,"پاوه",#REF!,"عمرانی-داخلی")</f>
        <v>#REF!</v>
      </c>
      <c r="E30" s="64" t="e">
        <f>SUMIFS(#REF!,#REF!,"پاوه",#REF!,"داخلی")</f>
        <v>#REF!</v>
      </c>
      <c r="F30" s="85"/>
    </row>
    <row r="31" spans="1:10" ht="25.15" customHeight="1">
      <c r="A31" s="82"/>
      <c r="B31" s="38" t="s">
        <v>40</v>
      </c>
      <c r="C31" s="30" t="e">
        <f>SUMIFS(#REF!,#REF!,"مرصاد",#REF!,"عمرانی-ملي-داخلی")</f>
        <v>#REF!</v>
      </c>
      <c r="D31" s="30" t="e">
        <f>SUMIFS(#REF!,#REF!,"مرصاد",#REF!,"عمرانی-داخلی")</f>
        <v>#REF!</v>
      </c>
      <c r="E31" s="64" t="e">
        <f>SUMIFS(#REF!,#REF!,"مرصاد",#REF!,"داخلی")</f>
        <v>#REF!</v>
      </c>
      <c r="F31" s="85"/>
    </row>
    <row r="32" spans="1:10" ht="25.15" customHeight="1">
      <c r="A32" s="82"/>
      <c r="B32" s="38" t="s">
        <v>58</v>
      </c>
      <c r="C32" s="30" t="e">
        <f>SUMIFS(#REF!,#REF!,"كوزران",#REF!,"عمرانی-ملي-داخلی")</f>
        <v>#REF!</v>
      </c>
      <c r="D32" s="30" t="e">
        <f>SUMIFS(#REF!,#REF!,"كوزران",#REF!,"عمرانی-داخلی")</f>
        <v>#REF!</v>
      </c>
      <c r="E32" s="64" t="e">
        <f>SUMIFS(#REF!,#REF!,"كوزران",#REF!,"داخلی")</f>
        <v>#REF!</v>
      </c>
      <c r="F32" s="85"/>
    </row>
    <row r="33" spans="1:12" ht="25.15" customHeight="1">
      <c r="A33" s="82"/>
      <c r="B33" s="38" t="s">
        <v>36</v>
      </c>
      <c r="C33" s="30" t="e">
        <f>SUMIFS(#REF!,#REF!,"دالاهو",#REF!,"عمرانی-ملي-داخلی")</f>
        <v>#REF!</v>
      </c>
      <c r="D33" s="30" t="e">
        <f>SUMIFS(#REF!,#REF!,"دالاهو",#REF!,"عمرانی-داخلی")</f>
        <v>#REF!</v>
      </c>
      <c r="E33" s="64" t="e">
        <f>SUMIFS(#REF!,#REF!,"دالاهو",#REF!,"داخلی")</f>
        <v>#REF!</v>
      </c>
      <c r="F33" s="85"/>
    </row>
    <row r="34" spans="1:12" ht="25.15" customHeight="1">
      <c r="A34" s="82"/>
      <c r="B34" s="51" t="s">
        <v>44</v>
      </c>
      <c r="C34" s="30" t="e">
        <f>SUMIFS(#REF!,#REF!,"سرپل ذهاب",#REF!,"عمرانی-ملي-داخلی")</f>
        <v>#REF!</v>
      </c>
      <c r="D34" s="30" t="e">
        <f>SUMIFS(#REF!,#REF!,"سرپل ذهاب",#REF!,"عمرانی-داخلی")</f>
        <v>#REF!</v>
      </c>
      <c r="E34" s="64" t="e">
        <f>SUMIFS(#REF!,#REF!,"سرپل ذهاب",#REF!,"داخلی")</f>
        <v>#REF!</v>
      </c>
      <c r="F34" s="85"/>
    </row>
    <row r="35" spans="1:12" ht="33.75" customHeight="1" thickBot="1">
      <c r="A35" s="82"/>
      <c r="B35" s="51" t="s">
        <v>32</v>
      </c>
      <c r="C35" s="30" t="e">
        <f>SUMIFS(#REF!,#REF!,"صحنه",#REF!,"عمرانی-ملي-داخلی")</f>
        <v>#REF!</v>
      </c>
      <c r="D35" s="30" t="e">
        <f>SUMIFS(#REF!,#REF!,"صحنه",#REF!,"عمرانی-داخلی")</f>
        <v>#REF!</v>
      </c>
      <c r="E35" s="64" t="e">
        <f>SUMIFS(#REF!,#REF!,"صحنه",#REF!,"داخلی")</f>
        <v>#REF!</v>
      </c>
      <c r="F35" s="85"/>
    </row>
    <row r="36" spans="1:12" ht="37.15" customHeight="1" thickBot="1">
      <c r="A36" s="60"/>
      <c r="B36" s="55" t="s">
        <v>51</v>
      </c>
      <c r="C36" s="57" t="e">
        <f>SUM(C20:C35)</f>
        <v>#REF!</v>
      </c>
      <c r="D36" s="57" t="e">
        <f>SUM(D20:D35)</f>
        <v>#REF!</v>
      </c>
      <c r="E36" s="57" t="e">
        <f>SUM(E20:E35)</f>
        <v>#REF!</v>
      </c>
      <c r="F36" s="85"/>
      <c r="H36" s="79"/>
      <c r="I36" s="79"/>
      <c r="J36" s="79"/>
      <c r="K36" s="79"/>
      <c r="L36" s="80"/>
    </row>
    <row r="37" spans="1:12" ht="37.15" customHeight="1" thickBot="1">
      <c r="A37" s="47"/>
      <c r="B37" s="48" t="s">
        <v>42</v>
      </c>
      <c r="C37" s="44" t="e">
        <f>SUMIFS(#REF!,#REF!,"استان",#REF!,"عمرانی")</f>
        <v>#REF!</v>
      </c>
      <c r="D37" s="44" t="e">
        <f>SUMIFS(#REF!,#REF!,"استان",#REF!,"عمرانی-داخلی")</f>
        <v>#REF!</v>
      </c>
      <c r="E37" s="65" t="e">
        <f>SUMIFS(#REF!,#REF!,"استان",#REF!,"داخلی")</f>
        <v>#REF!</v>
      </c>
      <c r="F37" s="85" t="e">
        <f>E53+D53+C53</f>
        <v>#REF!</v>
      </c>
      <c r="H37" s="49"/>
      <c r="I37" s="49"/>
      <c r="J37" s="49"/>
      <c r="K37" s="49"/>
      <c r="L37" s="49"/>
    </row>
    <row r="38" spans="1:12" ht="25.15" customHeight="1">
      <c r="A38" s="83">
        <v>1400</v>
      </c>
      <c r="B38" s="41" t="s">
        <v>33</v>
      </c>
      <c r="C38" s="44" t="e">
        <f>SUMIFS(#REF!,#REF!,"اسلام آباد",#REF!,"عمرانی")</f>
        <v>#REF!</v>
      </c>
      <c r="D38" s="44" t="e">
        <f>SUMIFS(#REF!,#REF!,"اسلام آباد",#REF!,"عمرانی-داخلی")</f>
        <v>#REF!</v>
      </c>
      <c r="E38" s="65" t="e">
        <f>SUMIFS(#REF!,#REF!,"اسلام آباد",#REF!,"داخلی")</f>
        <v>#REF!</v>
      </c>
      <c r="F38" s="85"/>
    </row>
    <row r="39" spans="1:12" ht="25.15" customHeight="1">
      <c r="A39" s="84"/>
      <c r="B39" s="38" t="s">
        <v>31</v>
      </c>
      <c r="C39" s="39" t="e">
        <f>SUMIFS(#REF!,#REF!,"بیستون",#REF!,"عمرانی")</f>
        <v>#REF!</v>
      </c>
      <c r="D39" s="39" t="e">
        <f>SUMIFS(#REF!,#REF!,"بیستون",#REF!,"عمرانی-داخلی")</f>
        <v>#REF!</v>
      </c>
      <c r="E39" s="66" t="e">
        <f>SUMIFS(#REF!,#REF!,"بیستون",#REF!,"داخلی")</f>
        <v>#REF!</v>
      </c>
      <c r="F39" s="85"/>
    </row>
    <row r="40" spans="1:12" ht="25.15" customHeight="1">
      <c r="A40" s="84"/>
      <c r="B40" s="38" t="s">
        <v>43</v>
      </c>
      <c r="C40" s="39" t="e">
        <f>SUMIFS(#REF!,#REF!,"پاوه",#REF!,"عمرانی")</f>
        <v>#REF!</v>
      </c>
      <c r="D40" s="39" t="e">
        <f>SUMIFS(#REF!,#REF!,"پاوه",#REF!,"عمرانی-داخلی")</f>
        <v>#REF!</v>
      </c>
      <c r="E40" s="66" t="e">
        <f>SUMIFS(#REF!,#REF!,"پاوه",#REF!,"داخلی")</f>
        <v>#REF!</v>
      </c>
      <c r="F40" s="85"/>
    </row>
    <row r="41" spans="1:12" ht="25.15" customHeight="1">
      <c r="A41" s="84"/>
      <c r="B41" s="38" t="s">
        <v>27</v>
      </c>
      <c r="C41" s="39" t="e">
        <f>SUMIFS(#REF!,#REF!,"ثلاث باباجانی",#REF!,"عمرانی")</f>
        <v>#REF!</v>
      </c>
      <c r="D41" s="39" t="e">
        <f>SUMIFS(#REF!,#REF!,"ثلاث باباجانی",#REF!,"عمرانی-داخلی")</f>
        <v>#REF!</v>
      </c>
      <c r="E41" s="66" t="e">
        <f>SUMIFS(#REF!,#REF!,"ثلاث باباجانی",#REF!,"داخلی")</f>
        <v>#REF!</v>
      </c>
      <c r="F41" s="85"/>
    </row>
    <row r="42" spans="1:12" ht="25.15" customHeight="1">
      <c r="A42" s="84"/>
      <c r="B42" s="38" t="s">
        <v>38</v>
      </c>
      <c r="C42" s="39" t="e">
        <f>SUMIFS(#REF!,#REF!,"جوانرود",#REF!,"عمرانی")</f>
        <v>#REF!</v>
      </c>
      <c r="D42" s="39" t="e">
        <f>SUMIFS(#REF!,#REF!,"جوانرود",#REF!,"عمرانی-داخلی")</f>
        <v>#REF!</v>
      </c>
      <c r="E42" s="66" t="e">
        <f>SUMIFS(#REF!,#REF!,"جوانرود",#REF!,"داخلی")</f>
        <v>#REF!</v>
      </c>
      <c r="F42" s="85"/>
    </row>
    <row r="43" spans="1:12" ht="25.15" customHeight="1">
      <c r="A43" s="84"/>
      <c r="B43" s="38" t="s">
        <v>36</v>
      </c>
      <c r="C43" s="39" t="e">
        <f>SUMIFS(#REF!,#REF!,"دالاهو",#REF!,"عمرانی")</f>
        <v>#REF!</v>
      </c>
      <c r="D43" s="39" t="e">
        <f>SUMIFS(#REF!,#REF!,"دالاهو",#REF!,"عمرانی-داخلی")</f>
        <v>#REF!</v>
      </c>
      <c r="E43" s="66" t="e">
        <f>SUMIFS(#REF!,#REF!,"دالاهو",#REF!,"داخلی")</f>
        <v>#REF!</v>
      </c>
      <c r="F43" s="85"/>
    </row>
    <row r="44" spans="1:12" ht="25.15" customHeight="1">
      <c r="A44" s="84"/>
      <c r="B44" s="38" t="s">
        <v>37</v>
      </c>
      <c r="C44" s="39" t="e">
        <f>SUMIFS(#REF!,#REF!,"روانسر",#REF!,"عمرانی")</f>
        <v>#REF!</v>
      </c>
      <c r="D44" s="39" t="e">
        <f>SUMIFS(#REF!,#REF!,"روانسر",#REF!,"عمرانی-داخلی")</f>
        <v>#REF!</v>
      </c>
      <c r="E44" s="66" t="e">
        <f>SUMIFS(#REF!,#REF!,"روانسر",#REF!,"داخلی")</f>
        <v>#REF!</v>
      </c>
      <c r="F44" s="85"/>
    </row>
    <row r="45" spans="1:12" ht="25.15" customHeight="1">
      <c r="A45" s="84"/>
      <c r="B45" s="38" t="s">
        <v>30</v>
      </c>
      <c r="C45" s="39" t="e">
        <f>SUMIFS(#REF!,#REF!,"زاگرس",#REF!,"عمرانی")</f>
        <v>#REF!</v>
      </c>
      <c r="D45" s="39" t="e">
        <f>SUMIFS(#REF!,#REF!,"زاگرس",#REF!,"عمرانی-داخلی")</f>
        <v>#REF!</v>
      </c>
      <c r="E45" s="66" t="e">
        <f>SUMIFS(#REF!,#REF!,"زاگرس",#REF!,"داخلی")</f>
        <v>#REF!</v>
      </c>
      <c r="F45" s="85"/>
    </row>
    <row r="46" spans="1:12" ht="25.15" customHeight="1">
      <c r="A46" s="84"/>
      <c r="B46" s="38" t="s">
        <v>44</v>
      </c>
      <c r="C46" s="39" t="e">
        <f>SUMIFS(#REF!,#REF!,"سرپل ذهاب",#REF!,"عمرانی")</f>
        <v>#REF!</v>
      </c>
      <c r="D46" s="39" t="e">
        <f>SUMIFS(#REF!,#REF!,"سرپل ذهاب",#REF!,"عمرانی-داخلی")</f>
        <v>#REF!</v>
      </c>
      <c r="E46" s="66" t="e">
        <f>SUMIFS(#REF!,#REF!,"سرپل ذهاب",#REF!,"داخلی")</f>
        <v>#REF!</v>
      </c>
      <c r="F46" s="85"/>
    </row>
    <row r="47" spans="1:12" ht="25.15" customHeight="1">
      <c r="A47" s="84"/>
      <c r="B47" s="38" t="s">
        <v>32</v>
      </c>
      <c r="C47" s="39" t="e">
        <f>SUMIFS(#REF!,#REF!,"صحنه",#REF!,"عمرانی")</f>
        <v>#REF!</v>
      </c>
      <c r="D47" s="39" t="e">
        <f>SUMIFS(#REF!,#REF!,"صحنه",#REF!,"عمرانی-داخلی")</f>
        <v>#REF!</v>
      </c>
      <c r="E47" s="66" t="e">
        <f>SUMIFS(#REF!,#REF!,"صحنه",#REF!,"داخلی")</f>
        <v>#REF!</v>
      </c>
      <c r="F47" s="85"/>
    </row>
    <row r="48" spans="1:12" ht="25.15" customHeight="1">
      <c r="A48" s="84"/>
      <c r="B48" s="38" t="s">
        <v>35</v>
      </c>
      <c r="C48" s="39" t="e">
        <f>SUMIFS(#REF!,#REF!,"قصر شیرین",#REF!,"عمرانی")</f>
        <v>#REF!</v>
      </c>
      <c r="D48" s="39" t="e">
        <f>SUMIFS(#REF!,#REF!,"قصر شیرین",#REF!,"عمرانی-داخلی")</f>
        <v>#REF!</v>
      </c>
      <c r="E48" s="66" t="e">
        <f>SUMIFS(#REF!,#REF!,"قصر شیرین",#REF!,"داخلی")</f>
        <v>#REF!</v>
      </c>
      <c r="F48" s="85"/>
    </row>
    <row r="49" spans="1:12" ht="25.15" customHeight="1">
      <c r="A49" s="84"/>
      <c r="B49" s="38" t="s">
        <v>39</v>
      </c>
      <c r="C49" s="39" t="e">
        <f>SUMIFS(#REF!,#REF!,"کنگاور",#REF!,"عمرانی")</f>
        <v>#REF!</v>
      </c>
      <c r="D49" s="39" t="e">
        <f>SUMIFS(#REF!,#REF!,"کنگاور",#REF!,"عمرانی-داخلی")</f>
        <v>#REF!</v>
      </c>
      <c r="E49" s="66" t="e">
        <f>SUMIFS(#REF!,#REF!,"کنگاور",#REF!,"داخلی")</f>
        <v>#REF!</v>
      </c>
      <c r="F49" s="85"/>
    </row>
    <row r="50" spans="1:12" ht="25.15" customHeight="1">
      <c r="A50" s="84"/>
      <c r="B50" s="38" t="s">
        <v>29</v>
      </c>
      <c r="C50" s="39" t="e">
        <f>SUMIFS(#REF!,#REF!,"گیلانغرب",#REF!,"عمرانی")</f>
        <v>#REF!</v>
      </c>
      <c r="D50" s="39" t="e">
        <f>SUMIFS(#REF!,#REF!,"گیلانغرب",#REF!,"عمرانی-داخلی")</f>
        <v>#REF!</v>
      </c>
      <c r="E50" s="66" t="e">
        <f>SUMIFS(#REF!,#REF!,"گیلانغرب",#REF!,"داخلی")</f>
        <v>#REF!</v>
      </c>
      <c r="F50" s="85"/>
    </row>
    <row r="51" spans="1:12" ht="25.15" customHeight="1">
      <c r="A51" s="84"/>
      <c r="B51" s="38" t="s">
        <v>40</v>
      </c>
      <c r="C51" s="39" t="e">
        <f>SUMIFS(#REF!,#REF!,"مرصاد",#REF!,"عمرانی")</f>
        <v>#REF!</v>
      </c>
      <c r="D51" s="39" t="e">
        <f>SUMIFS(#REF!,#REF!,"مرصاد",#REF!,"عمرانی-داخلی")</f>
        <v>#REF!</v>
      </c>
      <c r="E51" s="66" t="e">
        <f>SUMIFS(#REF!,#REF!,"مرصاد",#REF!,"داخلی")</f>
        <v>#REF!</v>
      </c>
      <c r="F51" s="85"/>
    </row>
    <row r="52" spans="1:12" ht="25.15" customHeight="1" thickBot="1">
      <c r="A52" s="84"/>
      <c r="B52" s="38" t="s">
        <v>28</v>
      </c>
      <c r="C52" s="30" t="e">
        <f>SUMIFS(#REF!,#REF!,"هرسین",#REF!,"عمرانی")</f>
        <v>#REF!</v>
      </c>
      <c r="D52" s="30" t="e">
        <f>SUMIFS(#REF!,#REF!,"هرسین",#REF!,"عمرانی-داخلی")</f>
        <v>#REF!</v>
      </c>
      <c r="E52" s="64" t="e">
        <f>SUMIFS(#REF!,#REF!,"هرسین",#REF!,"داخلی")</f>
        <v>#REF!</v>
      </c>
      <c r="F52" s="85"/>
    </row>
    <row r="53" spans="1:12" ht="36.6" customHeight="1" thickBot="1">
      <c r="A53" s="84"/>
      <c r="B53" s="58" t="s">
        <v>51</v>
      </c>
      <c r="C53" s="59" t="e">
        <f>SUM(C37:C52)</f>
        <v>#REF!</v>
      </c>
      <c r="D53" s="59" t="e">
        <f>SUM(D37:D52)</f>
        <v>#REF!</v>
      </c>
      <c r="E53" s="67" t="e">
        <f>SUM(E37:E52)</f>
        <v>#REF!</v>
      </c>
      <c r="F53" s="85"/>
    </row>
    <row r="54" spans="1:12" ht="41.25" thickBot="1">
      <c r="A54" s="43"/>
      <c r="B54" s="41" t="s">
        <v>33</v>
      </c>
      <c r="C54" s="40" t="e">
        <f>SUMIFS(#REF!,#REF!,"اسلام آباد",#REF!,"عمرانی")</f>
        <v>#REF!</v>
      </c>
      <c r="D54" s="42" t="e">
        <f>SUMIFS(#REF!,#REF!,"اسلام آباد",#REF!,"عمرانی-داخلی")</f>
        <v>#REF!</v>
      </c>
      <c r="E54" s="66" t="e">
        <f>SUMIFS(#REF!,#REF!,"اسلام آباد",#REF!,"داخلی")</f>
        <v>#REF!</v>
      </c>
      <c r="F54" s="8"/>
      <c r="H54" s="79"/>
      <c r="I54" s="79"/>
      <c r="J54" s="79"/>
      <c r="K54" s="79"/>
      <c r="L54" s="80"/>
    </row>
    <row r="55" spans="1:12" ht="25.15" customHeight="1" thickBot="1">
      <c r="A55" s="75">
        <v>1399</v>
      </c>
      <c r="B55" s="38" t="s">
        <v>30</v>
      </c>
      <c r="C55" s="40" t="e">
        <f>SUMIFS(#REF!,#REF!,"ازاگرس",#REF!,"عمرانی")</f>
        <v>#REF!</v>
      </c>
      <c r="D55" s="42" t="e">
        <f>SUMIFS(#REF!,#REF!,"زاگرس",#REF!,"عمرانی-داخلی")</f>
        <v>#REF!</v>
      </c>
      <c r="E55" s="66" t="e">
        <f>SUMIFS(#REF!,#REF!,"زاگرس",#REF!,"داخلی")</f>
        <v>#REF!</v>
      </c>
      <c r="F55" s="1"/>
    </row>
    <row r="56" spans="1:12" ht="25.15" customHeight="1" thickBot="1">
      <c r="A56" s="76"/>
      <c r="B56" s="38" t="s">
        <v>41</v>
      </c>
      <c r="C56" s="40" t="e">
        <f>SUMIFS(#REF!,#REF!,"افرامان",#REF!,"عمرانی")</f>
        <v>#REF!</v>
      </c>
      <c r="D56" s="42" t="e">
        <f>SUMIFS(#REF!,#REF!,"فرامان",#REF!,"عمرانی-داخلی")</f>
        <v>#REF!</v>
      </c>
      <c r="E56" s="66" t="e">
        <f>SUMIFS(#REF!,#REF!,"فرامان",#REF!,"داخلی")</f>
        <v>#REF!</v>
      </c>
      <c r="F56" s="1"/>
    </row>
    <row r="57" spans="1:12" ht="25.15" customHeight="1" thickBot="1">
      <c r="A57" s="76"/>
      <c r="B57" s="38" t="s">
        <v>40</v>
      </c>
      <c r="C57" s="40" t="e">
        <f>SUMIFS(#REF!,#REF!,"مرصاد",#REF!,"عمرانی")</f>
        <v>#REF!</v>
      </c>
      <c r="D57" s="42" t="e">
        <f>SUMIFS(#REF!,#REF!,"مرصاد",#REF!,"عمرانی-داخلی")</f>
        <v>#REF!</v>
      </c>
      <c r="E57" s="66" t="e">
        <f>SUMIFS(#REF!,#REF!,"مرصاد",#REF!,"داخلی")</f>
        <v>#REF!</v>
      </c>
      <c r="F57" s="1"/>
    </row>
    <row r="58" spans="1:12" ht="25.15" customHeight="1" thickBot="1">
      <c r="A58" s="76"/>
      <c r="B58" s="38" t="s">
        <v>28</v>
      </c>
      <c r="C58" s="40" t="e">
        <f>SUMIFS(#REF!,#REF!,"هرسین",#REF!,"عمرانی")</f>
        <v>#REF!</v>
      </c>
      <c r="D58" s="42" t="e">
        <f>SUMIFS(#REF!,#REF!,"هرسین",#REF!,"عمرانی-داخلی")</f>
        <v>#REF!</v>
      </c>
      <c r="E58" s="66" t="e">
        <f>SUMIFS(#REF!,#REF!,"هرسین",#REF!,"داخلی")</f>
        <v>#REF!</v>
      </c>
      <c r="F58" s="1"/>
    </row>
    <row r="59" spans="1:12" ht="46.15" customHeight="1" thickBot="1">
      <c r="A59" s="76"/>
      <c r="B59" s="58" t="s">
        <v>51</v>
      </c>
      <c r="C59" s="59" t="e">
        <f>SUM(C54:C58)</f>
        <v>#REF!</v>
      </c>
      <c r="D59" s="59" t="e">
        <f>SUM(D54:D58)</f>
        <v>#REF!</v>
      </c>
      <c r="E59" s="67" t="e">
        <f>SUM(E54:E58)</f>
        <v>#REF!</v>
      </c>
      <c r="F59" s="1"/>
    </row>
    <row r="60" spans="1:12" ht="37.9" customHeight="1" thickBot="1">
      <c r="A60" s="77" t="s">
        <v>65</v>
      </c>
      <c r="B60" s="78"/>
      <c r="C60" s="62" t="e">
        <f>C59+C53+C36+C19</f>
        <v>#REF!</v>
      </c>
      <c r="D60" s="62" t="e">
        <f>D59+D53+D36+D19</f>
        <v>#REF!</v>
      </c>
      <c r="E60" s="68" t="e">
        <f>E59+E53+E36+E19</f>
        <v>#REF!</v>
      </c>
      <c r="F60" s="1"/>
    </row>
  </sheetData>
  <sheetProtection algorithmName="SHA-512" hashValue="3FKxcn+tZpLqNcYiipq0xlVlaSM88KJwACSAObhJH536KDaal8lrv/JVirscJzj31KXXg7mPiqcIFzFK4cT3hQ==" saltValue="rwzkbBR1e2GuH5b4I9TzUg==" spinCount="100000" sheet="1" objects="1" scenarios="1"/>
  <mergeCells count="10">
    <mergeCell ref="A55:A59"/>
    <mergeCell ref="A60:B60"/>
    <mergeCell ref="H36:L36"/>
    <mergeCell ref="H54:L54"/>
    <mergeCell ref="A2:A18"/>
    <mergeCell ref="A20:A35"/>
    <mergeCell ref="A38:A53"/>
    <mergeCell ref="F2:F19"/>
    <mergeCell ref="F20:F36"/>
    <mergeCell ref="F37:F53"/>
  </mergeCells>
  <pageMargins left="0.25" right="0.25" top="0" bottom="0" header="0.3" footer="0.3"/>
  <pageSetup scale="5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rightToLeft="1" tabSelected="1" view="pageBreakPreview" zoomScale="40" zoomScaleSheetLayoutView="40" workbookViewId="0">
      <pane ySplit="1" topLeftCell="A2" activePane="bottomLeft" state="frozen"/>
      <selection pane="bottomLeft" activeCell="B1" sqref="B1:B1048576"/>
    </sheetView>
  </sheetViews>
  <sheetFormatPr defaultRowHeight="15"/>
  <cols>
    <col min="1" max="1" width="5.140625" customWidth="1"/>
    <col min="2" max="2" width="49.85546875" customWidth="1"/>
    <col min="3" max="3" width="24.7109375" customWidth="1"/>
    <col min="4" max="4" width="8.28515625" customWidth="1"/>
    <col min="5" max="5" width="6.5703125" customWidth="1"/>
    <col min="6" max="6" width="8.7109375" style="34" customWidth="1"/>
    <col min="7" max="7" width="6.28515625" customWidth="1"/>
    <col min="8" max="8" width="7.5703125" customWidth="1"/>
    <col min="9" max="9" width="5.42578125" customWidth="1"/>
    <col min="10" max="10" width="10.42578125" customWidth="1"/>
    <col min="11" max="11" width="69.42578125" customWidth="1"/>
    <col min="12" max="12" width="40.42578125" customWidth="1"/>
    <col min="13" max="13" width="34.42578125" customWidth="1"/>
    <col min="14" max="14" width="12.28515625" customWidth="1"/>
    <col min="15" max="15" width="7" customWidth="1"/>
    <col min="16" max="16" width="6.42578125" customWidth="1"/>
    <col min="17" max="17" width="9.42578125" customWidth="1"/>
    <col min="18" max="18" width="14.7109375" customWidth="1"/>
  </cols>
  <sheetData>
    <row r="1" spans="1:18" ht="70.900000000000006" customHeight="1" thickBot="1">
      <c r="A1" s="9" t="s">
        <v>24</v>
      </c>
      <c r="B1" s="16" t="s">
        <v>0</v>
      </c>
      <c r="C1" s="6" t="s">
        <v>1</v>
      </c>
      <c r="D1" s="6" t="s">
        <v>15</v>
      </c>
      <c r="E1" s="6" t="s">
        <v>23</v>
      </c>
      <c r="F1" s="4" t="s">
        <v>22</v>
      </c>
      <c r="G1" s="15" t="s">
        <v>26</v>
      </c>
      <c r="H1" s="12" t="s">
        <v>20</v>
      </c>
      <c r="I1" s="13"/>
      <c r="J1" s="14"/>
      <c r="K1" s="5" t="s">
        <v>2</v>
      </c>
      <c r="L1" s="2" t="s">
        <v>3</v>
      </c>
      <c r="M1" s="11" t="s">
        <v>7</v>
      </c>
      <c r="N1" s="3" t="s">
        <v>4</v>
      </c>
      <c r="O1" s="19"/>
      <c r="P1" s="19"/>
      <c r="Q1" s="19"/>
      <c r="R1" s="10" t="s">
        <v>12</v>
      </c>
    </row>
    <row r="2" spans="1:18" ht="75.95" customHeight="1">
      <c r="A2" s="35">
        <v>1</v>
      </c>
      <c r="B2" s="27" t="s">
        <v>57</v>
      </c>
      <c r="C2" s="33" t="s">
        <v>69</v>
      </c>
      <c r="D2" s="54">
        <v>16</v>
      </c>
      <c r="E2" s="54">
        <v>1</v>
      </c>
      <c r="F2" s="54">
        <v>402</v>
      </c>
      <c r="G2" s="63">
        <v>2</v>
      </c>
      <c r="H2" s="63">
        <v>10</v>
      </c>
      <c r="I2" s="63">
        <v>2</v>
      </c>
      <c r="J2" s="63">
        <v>402</v>
      </c>
      <c r="K2" s="23" t="s">
        <v>62</v>
      </c>
      <c r="L2" s="24">
        <v>8980338978</v>
      </c>
      <c r="M2" s="24">
        <v>11134228545</v>
      </c>
      <c r="N2" s="18" t="s">
        <v>6</v>
      </c>
      <c r="O2" s="23">
        <v>7</v>
      </c>
      <c r="P2" s="23">
        <v>4</v>
      </c>
      <c r="Q2" s="23">
        <v>402</v>
      </c>
      <c r="R2" s="25" t="s">
        <v>14</v>
      </c>
    </row>
    <row r="3" spans="1:18" ht="75.95" customHeight="1">
      <c r="A3" s="35">
        <v>2</v>
      </c>
      <c r="B3" s="27" t="s">
        <v>63</v>
      </c>
      <c r="C3" s="26" t="s">
        <v>70</v>
      </c>
      <c r="D3" s="54">
        <v>27</v>
      </c>
      <c r="E3" s="54">
        <v>1</v>
      </c>
      <c r="F3" s="54">
        <v>402</v>
      </c>
      <c r="G3" s="63">
        <v>2</v>
      </c>
      <c r="H3" s="63">
        <v>16</v>
      </c>
      <c r="I3" s="63">
        <v>2</v>
      </c>
      <c r="J3" s="63">
        <v>402</v>
      </c>
      <c r="K3" s="23" t="s">
        <v>64</v>
      </c>
      <c r="L3" s="24">
        <v>4370000000</v>
      </c>
      <c r="M3" s="24">
        <v>4099633408</v>
      </c>
      <c r="N3" s="18" t="s">
        <v>6</v>
      </c>
      <c r="O3" s="23">
        <v>15</v>
      </c>
      <c r="P3" s="23">
        <v>4</v>
      </c>
      <c r="Q3" s="23">
        <v>402</v>
      </c>
      <c r="R3" s="29" t="s">
        <v>14</v>
      </c>
    </row>
    <row r="4" spans="1:18" ht="75.95" customHeight="1">
      <c r="A4" s="35">
        <v>3</v>
      </c>
      <c r="B4" s="27" t="s">
        <v>66</v>
      </c>
      <c r="C4" s="33" t="s">
        <v>68</v>
      </c>
      <c r="D4" s="63">
        <v>19</v>
      </c>
      <c r="E4" s="63">
        <v>1</v>
      </c>
      <c r="F4" s="63">
        <v>402</v>
      </c>
      <c r="G4" s="63">
        <v>1</v>
      </c>
      <c r="H4" s="63">
        <v>27</v>
      </c>
      <c r="I4" s="63">
        <v>1</v>
      </c>
      <c r="J4" s="63">
        <v>402</v>
      </c>
      <c r="K4" s="23" t="s">
        <v>67</v>
      </c>
      <c r="L4" s="24">
        <v>1548000000</v>
      </c>
      <c r="M4" s="24">
        <v>1668440621</v>
      </c>
      <c r="N4" s="18" t="s">
        <v>6</v>
      </c>
      <c r="O4" s="23">
        <v>14</v>
      </c>
      <c r="P4" s="23">
        <v>2</v>
      </c>
      <c r="Q4" s="23">
        <v>402</v>
      </c>
      <c r="R4" s="25" t="s">
        <v>14</v>
      </c>
    </row>
    <row r="5" spans="1:18" ht="75.95" customHeight="1">
      <c r="A5" s="35">
        <v>4</v>
      </c>
      <c r="B5" s="27" t="s">
        <v>71</v>
      </c>
      <c r="C5" s="33" t="s">
        <v>72</v>
      </c>
      <c r="D5" s="63">
        <v>29</v>
      </c>
      <c r="E5" s="63">
        <v>1</v>
      </c>
      <c r="F5" s="63">
        <v>402</v>
      </c>
      <c r="G5" s="63">
        <v>3</v>
      </c>
      <c r="H5" s="63">
        <v>6</v>
      </c>
      <c r="I5" s="63">
        <v>2</v>
      </c>
      <c r="J5" s="63">
        <v>402</v>
      </c>
      <c r="K5" s="23" t="s">
        <v>73</v>
      </c>
      <c r="L5" s="24">
        <v>57900079808</v>
      </c>
      <c r="M5" s="24">
        <v>54490887290</v>
      </c>
      <c r="N5" s="18" t="s">
        <v>6</v>
      </c>
      <c r="O5" s="23">
        <v>1</v>
      </c>
      <c r="P5" s="23">
        <v>9</v>
      </c>
      <c r="Q5" s="23">
        <v>402</v>
      </c>
      <c r="R5" s="25" t="s">
        <v>14</v>
      </c>
    </row>
    <row r="6" spans="1:18" ht="87.75" customHeight="1">
      <c r="A6" s="35">
        <v>5</v>
      </c>
      <c r="B6" s="27" t="s">
        <v>47</v>
      </c>
      <c r="C6" s="26" t="s">
        <v>102</v>
      </c>
      <c r="D6" s="54">
        <v>5</v>
      </c>
      <c r="E6" s="54">
        <v>2</v>
      </c>
      <c r="F6" s="54">
        <v>402</v>
      </c>
      <c r="G6" s="54">
        <v>5</v>
      </c>
      <c r="H6" s="63">
        <v>10</v>
      </c>
      <c r="I6" s="63">
        <v>2</v>
      </c>
      <c r="J6" s="63">
        <v>402</v>
      </c>
      <c r="K6" s="23" t="s">
        <v>101</v>
      </c>
      <c r="L6" s="24">
        <v>26760667916</v>
      </c>
      <c r="M6" s="24">
        <v>10853732750</v>
      </c>
      <c r="N6" s="29" t="s">
        <v>5</v>
      </c>
      <c r="O6" s="1"/>
      <c r="P6" s="1"/>
      <c r="Q6" s="1"/>
      <c r="R6" s="29" t="s">
        <v>13</v>
      </c>
    </row>
    <row r="7" spans="1:18" ht="75.95" customHeight="1">
      <c r="A7" s="35">
        <v>6</v>
      </c>
      <c r="B7" s="27" t="s">
        <v>45</v>
      </c>
      <c r="C7" s="33" t="s">
        <v>74</v>
      </c>
      <c r="D7" s="63">
        <v>5</v>
      </c>
      <c r="E7" s="63">
        <v>2</v>
      </c>
      <c r="F7" s="63">
        <v>402</v>
      </c>
      <c r="G7" s="63">
        <v>4</v>
      </c>
      <c r="H7" s="63">
        <v>17</v>
      </c>
      <c r="I7" s="63">
        <v>2</v>
      </c>
      <c r="J7" s="63">
        <v>402</v>
      </c>
      <c r="K7" s="23" t="s">
        <v>75</v>
      </c>
      <c r="L7" s="24">
        <v>29450000000</v>
      </c>
      <c r="M7" s="24">
        <v>28053409202</v>
      </c>
      <c r="N7" s="18" t="s">
        <v>6</v>
      </c>
      <c r="O7" s="23">
        <v>14</v>
      </c>
      <c r="P7" s="23">
        <v>6</v>
      </c>
      <c r="Q7" s="23">
        <v>402</v>
      </c>
      <c r="R7" s="25" t="s">
        <v>14</v>
      </c>
    </row>
    <row r="8" spans="1:18" ht="75.95" customHeight="1">
      <c r="A8" s="35">
        <v>7</v>
      </c>
      <c r="B8" s="27" t="s">
        <v>10</v>
      </c>
      <c r="C8" s="33" t="s">
        <v>97</v>
      </c>
      <c r="D8" s="63">
        <v>10</v>
      </c>
      <c r="E8" s="63">
        <v>2</v>
      </c>
      <c r="F8" s="63">
        <v>402</v>
      </c>
      <c r="G8" s="63">
        <v>3</v>
      </c>
      <c r="H8" s="63">
        <v>1</v>
      </c>
      <c r="I8" s="63">
        <v>3</v>
      </c>
      <c r="J8" s="63">
        <v>402</v>
      </c>
      <c r="K8" s="21" t="s">
        <v>76</v>
      </c>
      <c r="L8" s="28">
        <v>43323791955</v>
      </c>
      <c r="M8" s="24">
        <v>53491120202</v>
      </c>
      <c r="N8" s="18" t="s">
        <v>6</v>
      </c>
      <c r="O8" s="23">
        <v>30</v>
      </c>
      <c r="P8" s="23">
        <v>7</v>
      </c>
      <c r="Q8" s="23">
        <v>402</v>
      </c>
      <c r="R8" s="25" t="s">
        <v>14</v>
      </c>
    </row>
    <row r="9" spans="1:18" ht="75.95" customHeight="1">
      <c r="A9" s="35">
        <v>8</v>
      </c>
      <c r="B9" s="27" t="s">
        <v>66</v>
      </c>
      <c r="C9" s="26" t="s">
        <v>89</v>
      </c>
      <c r="D9" s="63">
        <v>6</v>
      </c>
      <c r="E9" s="63">
        <v>2</v>
      </c>
      <c r="F9" s="63">
        <v>402</v>
      </c>
      <c r="G9" s="63">
        <v>4</v>
      </c>
      <c r="H9" s="63">
        <v>11</v>
      </c>
      <c r="I9" s="63">
        <v>2</v>
      </c>
      <c r="J9" s="63">
        <v>402</v>
      </c>
      <c r="K9" s="21" t="s">
        <v>93</v>
      </c>
      <c r="L9" s="28">
        <v>20349741943</v>
      </c>
      <c r="M9" s="28">
        <v>22191903161</v>
      </c>
      <c r="N9" s="18" t="s">
        <v>6</v>
      </c>
      <c r="O9" s="23">
        <v>26</v>
      </c>
      <c r="P9" s="23">
        <v>7</v>
      </c>
      <c r="Q9" s="23">
        <v>402</v>
      </c>
      <c r="R9" s="29" t="s">
        <v>13</v>
      </c>
    </row>
    <row r="10" spans="1:18" ht="75.95" customHeight="1">
      <c r="A10" s="35">
        <v>9</v>
      </c>
      <c r="B10" s="27" t="s">
        <v>90</v>
      </c>
      <c r="C10" s="33" t="s">
        <v>91</v>
      </c>
      <c r="D10" s="63">
        <v>7</v>
      </c>
      <c r="E10" s="63">
        <v>2</v>
      </c>
      <c r="F10" s="63">
        <v>402</v>
      </c>
      <c r="G10" s="63">
        <v>4</v>
      </c>
      <c r="H10" s="63">
        <v>17</v>
      </c>
      <c r="I10" s="63">
        <v>2</v>
      </c>
      <c r="J10" s="63">
        <v>402</v>
      </c>
      <c r="K10" s="21" t="s">
        <v>92</v>
      </c>
      <c r="L10" s="28">
        <v>58319626417</v>
      </c>
      <c r="M10" s="28">
        <v>72055862018</v>
      </c>
      <c r="N10" s="18" t="s">
        <v>6</v>
      </c>
      <c r="O10" s="23">
        <v>30</v>
      </c>
      <c r="P10" s="23">
        <v>10</v>
      </c>
      <c r="Q10" s="23">
        <v>402</v>
      </c>
      <c r="R10" s="25" t="s">
        <v>14</v>
      </c>
    </row>
    <row r="11" spans="1:18" ht="75.95" customHeight="1">
      <c r="A11" s="35">
        <v>10</v>
      </c>
      <c r="B11" s="27" t="s">
        <v>54</v>
      </c>
      <c r="C11" s="33" t="s">
        <v>110</v>
      </c>
      <c r="D11" s="63">
        <v>12</v>
      </c>
      <c r="E11" s="63">
        <v>2</v>
      </c>
      <c r="F11" s="63">
        <v>402</v>
      </c>
      <c r="G11" s="63">
        <v>5</v>
      </c>
      <c r="H11" s="63">
        <v>26</v>
      </c>
      <c r="I11" s="63">
        <v>2</v>
      </c>
      <c r="J11" s="63">
        <v>402</v>
      </c>
      <c r="K11" s="21" t="s">
        <v>94</v>
      </c>
      <c r="L11" s="28">
        <v>68920522492</v>
      </c>
      <c r="M11" s="28">
        <v>71439003279</v>
      </c>
      <c r="N11" s="18" t="s">
        <v>6</v>
      </c>
      <c r="O11" s="23">
        <v>13</v>
      </c>
      <c r="P11" s="23">
        <v>9</v>
      </c>
      <c r="Q11" s="23">
        <v>402</v>
      </c>
      <c r="R11" s="29" t="s">
        <v>13</v>
      </c>
    </row>
    <row r="12" spans="1:18" ht="75.95" customHeight="1">
      <c r="A12" s="35">
        <v>11</v>
      </c>
      <c r="B12" s="27" t="s">
        <v>10</v>
      </c>
      <c r="C12" s="33" t="s">
        <v>84</v>
      </c>
      <c r="D12" s="63">
        <v>10</v>
      </c>
      <c r="E12" s="63">
        <v>2</v>
      </c>
      <c r="F12" s="63">
        <v>402</v>
      </c>
      <c r="G12" s="63">
        <v>1</v>
      </c>
      <c r="H12" s="63">
        <v>1</v>
      </c>
      <c r="I12" s="63">
        <v>3</v>
      </c>
      <c r="J12" s="63">
        <v>402</v>
      </c>
      <c r="K12" s="21" t="s">
        <v>77</v>
      </c>
      <c r="L12" s="28">
        <v>2300000000</v>
      </c>
      <c r="M12" s="28">
        <v>2588782659</v>
      </c>
      <c r="N12" s="18" t="s">
        <v>6</v>
      </c>
      <c r="O12" s="23">
        <v>13</v>
      </c>
      <c r="P12" s="23">
        <v>8</v>
      </c>
      <c r="Q12" s="23">
        <v>402</v>
      </c>
      <c r="R12" s="29" t="s">
        <v>13</v>
      </c>
    </row>
    <row r="13" spans="1:18" ht="75.95" customHeight="1">
      <c r="A13" s="35">
        <v>12</v>
      </c>
      <c r="B13" s="27" t="s">
        <v>52</v>
      </c>
      <c r="C13" s="33" t="s">
        <v>85</v>
      </c>
      <c r="D13" s="63">
        <v>10</v>
      </c>
      <c r="E13" s="63">
        <v>2</v>
      </c>
      <c r="F13" s="63">
        <v>402</v>
      </c>
      <c r="G13" s="63">
        <v>2</v>
      </c>
      <c r="H13" s="63">
        <v>27</v>
      </c>
      <c r="I13" s="63">
        <v>2</v>
      </c>
      <c r="J13" s="63">
        <v>402</v>
      </c>
      <c r="K13" s="21" t="s">
        <v>80</v>
      </c>
      <c r="L13" s="28">
        <v>6190000000</v>
      </c>
      <c r="M13" s="1"/>
      <c r="N13" s="29" t="s">
        <v>5</v>
      </c>
      <c r="O13" s="1"/>
      <c r="P13" s="1"/>
      <c r="Q13" s="1"/>
      <c r="R13" s="29" t="s">
        <v>13</v>
      </c>
    </row>
    <row r="14" spans="1:18" ht="75.95" customHeight="1">
      <c r="A14" s="35">
        <v>13</v>
      </c>
      <c r="B14" s="27" t="s">
        <v>86</v>
      </c>
      <c r="C14" s="33" t="s">
        <v>87</v>
      </c>
      <c r="D14" s="63">
        <v>11</v>
      </c>
      <c r="E14" s="63">
        <v>2</v>
      </c>
      <c r="F14" s="63">
        <v>402</v>
      </c>
      <c r="G14" s="63">
        <v>3</v>
      </c>
      <c r="H14" s="63">
        <v>16</v>
      </c>
      <c r="I14" s="63">
        <v>2</v>
      </c>
      <c r="J14" s="63">
        <v>402</v>
      </c>
      <c r="K14" s="21" t="s">
        <v>88</v>
      </c>
      <c r="L14" s="28">
        <v>5599553447</v>
      </c>
      <c r="M14" s="28">
        <v>5149087207</v>
      </c>
      <c r="N14" s="18" t="s">
        <v>6</v>
      </c>
      <c r="O14" s="23">
        <v>10</v>
      </c>
      <c r="P14" s="23">
        <v>5</v>
      </c>
      <c r="Q14" s="23">
        <v>402</v>
      </c>
      <c r="R14" s="25" t="s">
        <v>14</v>
      </c>
    </row>
    <row r="15" spans="1:18" ht="93" customHeight="1">
      <c r="A15" s="35">
        <v>14</v>
      </c>
      <c r="B15" s="27" t="s">
        <v>57</v>
      </c>
      <c r="C15" s="33" t="s">
        <v>95</v>
      </c>
      <c r="D15" s="63">
        <v>14</v>
      </c>
      <c r="E15" s="63">
        <v>2</v>
      </c>
      <c r="F15" s="63">
        <v>402</v>
      </c>
      <c r="G15" s="63">
        <v>5</v>
      </c>
      <c r="H15" s="63">
        <v>9</v>
      </c>
      <c r="I15" s="63">
        <v>3</v>
      </c>
      <c r="J15" s="63">
        <v>402</v>
      </c>
      <c r="K15" s="21" t="s">
        <v>96</v>
      </c>
      <c r="L15" s="28">
        <v>29896114598</v>
      </c>
      <c r="M15" s="28">
        <v>32570845644</v>
      </c>
      <c r="N15" s="29" t="s">
        <v>5</v>
      </c>
      <c r="O15" s="1"/>
      <c r="P15" s="1"/>
      <c r="Q15" s="1"/>
      <c r="R15" s="29" t="s">
        <v>13</v>
      </c>
    </row>
    <row r="16" spans="1:18" ht="75.95" customHeight="1">
      <c r="A16" s="35">
        <v>15</v>
      </c>
      <c r="B16" s="27" t="s">
        <v>11</v>
      </c>
      <c r="C16" s="33" t="s">
        <v>98</v>
      </c>
      <c r="D16" s="54">
        <v>6</v>
      </c>
      <c r="E16" s="54">
        <v>2</v>
      </c>
      <c r="F16" s="54">
        <v>402</v>
      </c>
      <c r="G16" s="63">
        <v>6</v>
      </c>
      <c r="H16" s="63">
        <v>10</v>
      </c>
      <c r="I16" s="63">
        <v>2</v>
      </c>
      <c r="J16" s="63">
        <v>402</v>
      </c>
      <c r="K16" s="21" t="s">
        <v>79</v>
      </c>
      <c r="L16" s="28">
        <v>88498866330</v>
      </c>
      <c r="M16" s="28">
        <v>56709026793</v>
      </c>
      <c r="N16" s="29" t="s">
        <v>5</v>
      </c>
      <c r="O16" s="1"/>
      <c r="P16" s="1"/>
      <c r="Q16" s="1"/>
      <c r="R16" s="29" t="s">
        <v>13</v>
      </c>
    </row>
    <row r="17" spans="1:18" ht="75.95" customHeight="1">
      <c r="A17" s="35">
        <v>16</v>
      </c>
      <c r="B17" s="27" t="s">
        <v>83</v>
      </c>
      <c r="C17" s="33" t="s">
        <v>99</v>
      </c>
      <c r="D17" s="54">
        <v>6</v>
      </c>
      <c r="E17" s="54">
        <v>2</v>
      </c>
      <c r="F17" s="54">
        <v>402</v>
      </c>
      <c r="G17" s="63">
        <v>8</v>
      </c>
      <c r="H17" s="63">
        <v>12</v>
      </c>
      <c r="I17" s="63">
        <v>2</v>
      </c>
      <c r="J17" s="63">
        <v>402</v>
      </c>
      <c r="K17" s="21" t="s">
        <v>81</v>
      </c>
      <c r="L17" s="28">
        <v>65298716167</v>
      </c>
      <c r="M17" s="28">
        <v>52090202869</v>
      </c>
      <c r="N17" s="18" t="s">
        <v>6</v>
      </c>
      <c r="O17" s="23">
        <v>30</v>
      </c>
      <c r="P17" s="23">
        <v>11</v>
      </c>
      <c r="Q17" s="23">
        <v>402</v>
      </c>
      <c r="R17" s="25" t="s">
        <v>14</v>
      </c>
    </row>
    <row r="18" spans="1:18" ht="75.95" customHeight="1">
      <c r="A18" s="35">
        <v>17</v>
      </c>
      <c r="B18" s="27" t="s">
        <v>83</v>
      </c>
      <c r="C18" s="33" t="s">
        <v>100</v>
      </c>
      <c r="D18" s="54">
        <v>6</v>
      </c>
      <c r="E18" s="54">
        <v>2</v>
      </c>
      <c r="F18" s="54">
        <v>402</v>
      </c>
      <c r="G18" s="63">
        <v>8</v>
      </c>
      <c r="H18" s="63">
        <v>12</v>
      </c>
      <c r="I18" s="63">
        <v>2</v>
      </c>
      <c r="J18" s="63">
        <v>402</v>
      </c>
      <c r="K18" s="21" t="s">
        <v>82</v>
      </c>
      <c r="L18" s="28">
        <v>64589640652</v>
      </c>
      <c r="M18" s="28">
        <v>57369986226</v>
      </c>
      <c r="N18" s="29" t="s">
        <v>5</v>
      </c>
      <c r="O18" s="1"/>
      <c r="P18" s="1"/>
      <c r="Q18" s="1"/>
      <c r="R18" s="25" t="s">
        <v>14</v>
      </c>
    </row>
    <row r="19" spans="1:18" ht="75.95" customHeight="1">
      <c r="A19" s="35">
        <v>18</v>
      </c>
      <c r="B19" s="27" t="s">
        <v>10</v>
      </c>
      <c r="C19" s="26" t="s">
        <v>103</v>
      </c>
      <c r="D19" s="54">
        <v>30</v>
      </c>
      <c r="E19" s="54">
        <v>2</v>
      </c>
      <c r="F19" s="54">
        <v>402</v>
      </c>
      <c r="G19" s="63">
        <v>2</v>
      </c>
      <c r="H19" s="54">
        <v>30</v>
      </c>
      <c r="I19" s="54">
        <v>3</v>
      </c>
      <c r="J19" s="54">
        <v>402</v>
      </c>
      <c r="K19" s="23" t="s">
        <v>104</v>
      </c>
      <c r="L19" s="24">
        <v>7400000000</v>
      </c>
      <c r="M19" s="28">
        <v>9249935607</v>
      </c>
      <c r="N19" s="18" t="s">
        <v>6</v>
      </c>
      <c r="O19" s="23">
        <v>30</v>
      </c>
      <c r="P19" s="23">
        <v>6</v>
      </c>
      <c r="Q19" s="23">
        <v>402</v>
      </c>
      <c r="R19" s="25" t="s">
        <v>13</v>
      </c>
    </row>
    <row r="20" spans="1:18" ht="75.95" customHeight="1">
      <c r="A20" s="35">
        <v>19</v>
      </c>
      <c r="B20" s="27" t="s">
        <v>19</v>
      </c>
      <c r="C20" s="27" t="s">
        <v>106</v>
      </c>
      <c r="D20" s="54">
        <v>2</v>
      </c>
      <c r="E20" s="54">
        <v>3</v>
      </c>
      <c r="F20" s="54">
        <v>402</v>
      </c>
      <c r="G20" s="63">
        <v>2</v>
      </c>
      <c r="H20" s="63">
        <v>22</v>
      </c>
      <c r="I20" s="63">
        <v>3</v>
      </c>
      <c r="J20" s="63">
        <v>402</v>
      </c>
      <c r="K20" s="23" t="s">
        <v>105</v>
      </c>
      <c r="L20" s="24">
        <v>8980000000</v>
      </c>
      <c r="M20" s="28">
        <v>11222644682</v>
      </c>
      <c r="N20" s="18" t="s">
        <v>6</v>
      </c>
      <c r="O20" s="23">
        <v>1</v>
      </c>
      <c r="P20" s="23">
        <v>5</v>
      </c>
      <c r="Q20" s="23">
        <v>402</v>
      </c>
      <c r="R20" s="25" t="s">
        <v>13</v>
      </c>
    </row>
    <row r="21" spans="1:18" ht="75.95" customHeight="1">
      <c r="A21" s="35">
        <v>20</v>
      </c>
      <c r="B21" s="27" t="s">
        <v>107</v>
      </c>
      <c r="C21" s="33" t="s">
        <v>114</v>
      </c>
      <c r="D21" s="54">
        <v>11</v>
      </c>
      <c r="E21" s="54">
        <v>3</v>
      </c>
      <c r="F21" s="54">
        <v>402</v>
      </c>
      <c r="G21" s="54">
        <v>1</v>
      </c>
      <c r="H21" s="63">
        <v>23</v>
      </c>
      <c r="I21" s="63">
        <v>3</v>
      </c>
      <c r="J21" s="63">
        <v>402</v>
      </c>
      <c r="K21" s="21" t="s">
        <v>108</v>
      </c>
      <c r="L21" s="28">
        <v>574277134</v>
      </c>
      <c r="M21" s="28">
        <v>695376739</v>
      </c>
      <c r="N21" s="18" t="s">
        <v>6</v>
      </c>
      <c r="O21" s="23">
        <v>23</v>
      </c>
      <c r="P21" s="23">
        <v>4</v>
      </c>
      <c r="Q21" s="23">
        <v>402</v>
      </c>
      <c r="R21" s="29" t="s">
        <v>14</v>
      </c>
    </row>
    <row r="22" spans="1:18" ht="75.95" customHeight="1">
      <c r="A22" s="35">
        <v>21</v>
      </c>
      <c r="B22" s="27" t="s">
        <v>53</v>
      </c>
      <c r="C22" s="33" t="s">
        <v>115</v>
      </c>
      <c r="D22" s="54">
        <v>16</v>
      </c>
      <c r="E22" s="54">
        <v>3</v>
      </c>
      <c r="F22" s="54">
        <v>402</v>
      </c>
      <c r="G22" s="63">
        <v>1</v>
      </c>
      <c r="H22" s="63">
        <v>17</v>
      </c>
      <c r="I22" s="63">
        <v>3</v>
      </c>
      <c r="J22" s="63">
        <v>402</v>
      </c>
      <c r="K22" s="23" t="s">
        <v>109</v>
      </c>
      <c r="L22" s="24">
        <v>8480000000</v>
      </c>
      <c r="M22" s="28">
        <v>7014811207</v>
      </c>
      <c r="N22" s="25" t="s">
        <v>5</v>
      </c>
      <c r="O22" s="7"/>
      <c r="P22" s="7"/>
      <c r="Q22" s="7"/>
      <c r="R22" s="25" t="s">
        <v>13</v>
      </c>
    </row>
    <row r="23" spans="1:18" ht="75.95" customHeight="1">
      <c r="A23" s="35">
        <v>22</v>
      </c>
      <c r="B23" s="27" t="s">
        <v>19</v>
      </c>
      <c r="C23" s="26" t="s">
        <v>116</v>
      </c>
      <c r="D23" s="54">
        <v>11</v>
      </c>
      <c r="E23" s="54">
        <v>3</v>
      </c>
      <c r="F23" s="54">
        <v>402</v>
      </c>
      <c r="G23" s="54">
        <v>4</v>
      </c>
      <c r="H23" s="63">
        <v>20</v>
      </c>
      <c r="I23" s="63">
        <v>3</v>
      </c>
      <c r="J23" s="63">
        <v>402</v>
      </c>
      <c r="K23" s="21" t="s">
        <v>111</v>
      </c>
      <c r="L23" s="28">
        <v>17980000000</v>
      </c>
      <c r="M23" s="28">
        <v>17407760397</v>
      </c>
      <c r="N23" s="29" t="s">
        <v>5</v>
      </c>
      <c r="O23" s="1"/>
      <c r="P23" s="1"/>
      <c r="Q23" s="1"/>
      <c r="R23" s="29" t="s">
        <v>13</v>
      </c>
    </row>
    <row r="24" spans="1:18" ht="75.95" customHeight="1">
      <c r="A24" s="35">
        <v>23</v>
      </c>
      <c r="B24" s="27" t="s">
        <v>45</v>
      </c>
      <c r="C24" s="26" t="s">
        <v>112</v>
      </c>
      <c r="D24" s="54">
        <v>8</v>
      </c>
      <c r="E24" s="54">
        <v>3</v>
      </c>
      <c r="F24" s="54">
        <v>402</v>
      </c>
      <c r="G24" s="54">
        <v>3</v>
      </c>
      <c r="H24" s="63">
        <v>17</v>
      </c>
      <c r="I24" s="63">
        <v>3</v>
      </c>
      <c r="J24" s="63">
        <v>402</v>
      </c>
      <c r="K24" s="21" t="s">
        <v>113</v>
      </c>
      <c r="L24" s="28">
        <v>63000000000</v>
      </c>
      <c r="M24" s="28">
        <v>61806315979</v>
      </c>
      <c r="N24" s="18" t="s">
        <v>6</v>
      </c>
      <c r="O24" s="23">
        <v>16</v>
      </c>
      <c r="P24" s="23">
        <v>8</v>
      </c>
      <c r="Q24" s="23">
        <v>402</v>
      </c>
      <c r="R24" s="29" t="s">
        <v>13</v>
      </c>
    </row>
    <row r="25" spans="1:18" ht="75.95" customHeight="1">
      <c r="A25" s="35">
        <v>24</v>
      </c>
      <c r="B25" s="27" t="s">
        <v>11</v>
      </c>
      <c r="C25" s="26" t="s">
        <v>25</v>
      </c>
      <c r="D25" s="69">
        <v>31</v>
      </c>
      <c r="E25" s="69">
        <v>3</v>
      </c>
      <c r="F25" s="69">
        <v>402</v>
      </c>
      <c r="G25" s="54">
        <v>6</v>
      </c>
      <c r="H25" s="63">
        <v>13</v>
      </c>
      <c r="I25" s="63">
        <v>4</v>
      </c>
      <c r="J25" s="63">
        <v>402</v>
      </c>
      <c r="K25" s="21" t="s">
        <v>122</v>
      </c>
      <c r="L25" s="28">
        <v>105969944423</v>
      </c>
      <c r="M25" s="28">
        <v>87985159312</v>
      </c>
      <c r="N25" s="29" t="s">
        <v>5</v>
      </c>
      <c r="O25" s="1"/>
      <c r="P25" s="1"/>
      <c r="Q25" s="1"/>
      <c r="R25" s="29" t="s">
        <v>13</v>
      </c>
    </row>
    <row r="26" spans="1:18" ht="103.9" customHeight="1">
      <c r="A26" s="35">
        <v>25</v>
      </c>
      <c r="B26" s="27" t="s">
        <v>56</v>
      </c>
      <c r="C26" s="26" t="s">
        <v>117</v>
      </c>
      <c r="D26" s="54">
        <v>20</v>
      </c>
      <c r="E26" s="54">
        <v>3</v>
      </c>
      <c r="F26" s="54">
        <v>402</v>
      </c>
      <c r="G26" s="63">
        <v>1</v>
      </c>
      <c r="H26" s="63">
        <v>1</v>
      </c>
      <c r="I26" s="63">
        <v>4</v>
      </c>
      <c r="J26" s="63">
        <v>402</v>
      </c>
      <c r="K26" s="21" t="s">
        <v>121</v>
      </c>
      <c r="L26" s="28">
        <v>6588426000</v>
      </c>
      <c r="M26" s="28">
        <v>8226057962</v>
      </c>
      <c r="N26" s="18" t="s">
        <v>6</v>
      </c>
      <c r="O26" s="23">
        <v>23</v>
      </c>
      <c r="P26" s="23">
        <v>5</v>
      </c>
      <c r="Q26" s="23">
        <v>402</v>
      </c>
      <c r="R26" s="29" t="s">
        <v>14</v>
      </c>
    </row>
    <row r="27" spans="1:18" ht="75.95" customHeight="1">
      <c r="A27" s="35">
        <v>26</v>
      </c>
      <c r="B27" s="27" t="s">
        <v>16</v>
      </c>
      <c r="C27" s="71" t="s">
        <v>118</v>
      </c>
      <c r="D27" s="69">
        <v>23</v>
      </c>
      <c r="E27" s="69">
        <v>3</v>
      </c>
      <c r="F27" s="69">
        <v>402</v>
      </c>
      <c r="G27" s="63">
        <v>1</v>
      </c>
      <c r="H27" s="63">
        <v>16</v>
      </c>
      <c r="I27" s="63">
        <v>4</v>
      </c>
      <c r="J27" s="63">
        <v>402</v>
      </c>
      <c r="K27" s="70" t="s">
        <v>119</v>
      </c>
      <c r="L27" s="28">
        <v>2640000000</v>
      </c>
      <c r="M27" s="28">
        <v>2547506624</v>
      </c>
      <c r="N27" s="18" t="s">
        <v>6</v>
      </c>
      <c r="O27" s="23">
        <v>16</v>
      </c>
      <c r="P27" s="23">
        <v>5</v>
      </c>
      <c r="Q27" s="23">
        <v>402</v>
      </c>
      <c r="R27" s="25" t="s">
        <v>14</v>
      </c>
    </row>
    <row r="28" spans="1:18" ht="75.95" customHeight="1">
      <c r="A28" s="17">
        <v>27</v>
      </c>
      <c r="B28" s="31" t="s">
        <v>55</v>
      </c>
      <c r="C28" s="26" t="s">
        <v>120</v>
      </c>
      <c r="D28" s="54">
        <v>28</v>
      </c>
      <c r="E28" s="54">
        <v>3</v>
      </c>
      <c r="F28" s="54">
        <v>402</v>
      </c>
      <c r="G28" s="63">
        <v>3</v>
      </c>
      <c r="H28" s="63">
        <v>3</v>
      </c>
      <c r="I28" s="63">
        <v>4</v>
      </c>
      <c r="J28" s="63">
        <v>402</v>
      </c>
      <c r="K28" s="23" t="s">
        <v>171</v>
      </c>
      <c r="L28" s="28">
        <v>20534072105</v>
      </c>
      <c r="M28" s="28">
        <v>13515290761</v>
      </c>
      <c r="N28" s="18" t="s">
        <v>6</v>
      </c>
      <c r="O28" s="23">
        <v>16</v>
      </c>
      <c r="P28" s="23">
        <v>10</v>
      </c>
      <c r="Q28" s="23">
        <v>402</v>
      </c>
      <c r="R28" s="25" t="s">
        <v>13</v>
      </c>
    </row>
    <row r="29" spans="1:18" ht="75.95" customHeight="1">
      <c r="A29" s="35">
        <v>28</v>
      </c>
      <c r="B29" s="32" t="s">
        <v>59</v>
      </c>
      <c r="C29" s="71" t="s">
        <v>123</v>
      </c>
      <c r="D29" s="69">
        <v>4</v>
      </c>
      <c r="E29" s="69">
        <v>5</v>
      </c>
      <c r="F29" s="63">
        <v>402</v>
      </c>
      <c r="G29" s="63">
        <v>1</v>
      </c>
      <c r="H29" s="54">
        <v>17</v>
      </c>
      <c r="I29" s="54">
        <v>5</v>
      </c>
      <c r="J29" s="54">
        <v>402</v>
      </c>
      <c r="K29" s="23" t="s">
        <v>128</v>
      </c>
      <c r="L29" s="24">
        <v>7423791000</v>
      </c>
      <c r="M29" s="24">
        <v>9243587459</v>
      </c>
      <c r="N29" s="18" t="s">
        <v>6</v>
      </c>
      <c r="O29" s="23">
        <v>31</v>
      </c>
      <c r="P29" s="23">
        <v>6</v>
      </c>
      <c r="Q29" s="23">
        <v>402</v>
      </c>
      <c r="R29" s="25" t="s">
        <v>14</v>
      </c>
    </row>
    <row r="30" spans="1:18" ht="75.95" customHeight="1">
      <c r="A30" s="35">
        <v>29</v>
      </c>
      <c r="B30" s="27" t="s">
        <v>124</v>
      </c>
      <c r="C30" s="33" t="s">
        <v>196</v>
      </c>
      <c r="D30" s="63">
        <v>24</v>
      </c>
      <c r="E30" s="63">
        <v>2</v>
      </c>
      <c r="F30" s="63">
        <v>402</v>
      </c>
      <c r="G30" s="63">
        <v>12</v>
      </c>
      <c r="H30" s="63">
        <v>16</v>
      </c>
      <c r="I30" s="63">
        <v>3</v>
      </c>
      <c r="J30" s="63">
        <v>402</v>
      </c>
      <c r="K30" s="23" t="s">
        <v>125</v>
      </c>
      <c r="L30" s="24">
        <v>9500000000</v>
      </c>
      <c r="M30" s="24">
        <f>337791774+451536612+464347395+534229161+480452964+480452964+480452964+499669139+461236790+452807516</f>
        <v>4642977279</v>
      </c>
      <c r="N30" s="25" t="s">
        <v>5</v>
      </c>
      <c r="O30" s="7"/>
      <c r="P30" s="7"/>
      <c r="Q30" s="7"/>
      <c r="R30" s="52" t="s">
        <v>60</v>
      </c>
    </row>
    <row r="31" spans="1:18" ht="75.95" customHeight="1">
      <c r="A31" s="17">
        <v>30</v>
      </c>
      <c r="B31" s="22" t="s">
        <v>126</v>
      </c>
      <c r="C31" s="26" t="s">
        <v>164</v>
      </c>
      <c r="D31" s="54">
        <v>31</v>
      </c>
      <c r="E31" s="54">
        <v>4</v>
      </c>
      <c r="F31" s="54">
        <v>402</v>
      </c>
      <c r="G31" s="54">
        <v>12</v>
      </c>
      <c r="H31" s="54">
        <v>31</v>
      </c>
      <c r="I31" s="63">
        <v>4</v>
      </c>
      <c r="J31" s="63">
        <v>402</v>
      </c>
      <c r="K31" s="23" t="s">
        <v>127</v>
      </c>
      <c r="L31" s="24">
        <v>40000000000</v>
      </c>
      <c r="M31" s="24">
        <f>792257418+53649071+296335814+356122774+56639416+111240962+543670617+261857160+46760313+46459942+186569933+239278137+501175061+323023576+152371684+364581057+116698403+135948155+84880226+245915293+53723564+387411820+238424263+116405897+162732008+91635960+14647560+137529031+205659452+103082883+113736152+42287621+407771699+100323225+219653073+74082512+127806076+91437889+56309710+107447129</f>
        <v>7767542536</v>
      </c>
      <c r="N31" s="25" t="s">
        <v>5</v>
      </c>
      <c r="O31" s="7"/>
      <c r="P31" s="7"/>
      <c r="Q31" s="7"/>
      <c r="R31" s="25" t="s">
        <v>14</v>
      </c>
    </row>
    <row r="32" spans="1:18" ht="75.95" customHeight="1">
      <c r="A32" s="35">
        <v>31</v>
      </c>
      <c r="B32" s="72" t="s">
        <v>129</v>
      </c>
      <c r="C32" s="33" t="s">
        <v>130</v>
      </c>
      <c r="D32" s="63">
        <v>31</v>
      </c>
      <c r="E32" s="63">
        <v>4</v>
      </c>
      <c r="F32" s="63">
        <v>402</v>
      </c>
      <c r="G32" s="63">
        <v>12</v>
      </c>
      <c r="H32" s="63">
        <v>31</v>
      </c>
      <c r="I32" s="63">
        <v>4</v>
      </c>
      <c r="J32" s="63">
        <v>402</v>
      </c>
      <c r="K32" s="23" t="s">
        <v>127</v>
      </c>
      <c r="L32" s="24">
        <v>40000000000</v>
      </c>
      <c r="M32" s="24">
        <f>61353383+125295776+56166583+147226952+59401370+323977460+56392409+65409093+580904063+50864444+266093985+438403666+408737645+114004662+46775654+257120132+93075206+227780892+16983337+38618425+48591930+167219845+255526028+80578541+46648131+162860728+386060517+455641091+173838237+99737919+55370193+230740735+276497853+364921308+171875880+73671186+38005509+68711835+331529948+42564621+214161862+231824468+165346237+67584213+966903202</f>
        <v>8610997154</v>
      </c>
      <c r="N32" s="25" t="s">
        <v>5</v>
      </c>
      <c r="O32" s="7"/>
      <c r="P32" s="7"/>
      <c r="Q32" s="7"/>
      <c r="R32" s="25" t="s">
        <v>14</v>
      </c>
    </row>
    <row r="33" spans="1:18" ht="75.95" customHeight="1">
      <c r="A33" s="17">
        <v>32</v>
      </c>
      <c r="B33" s="27" t="s">
        <v>131</v>
      </c>
      <c r="C33" s="33" t="s">
        <v>132</v>
      </c>
      <c r="D33" s="63">
        <v>15</v>
      </c>
      <c r="E33" s="63">
        <v>1</v>
      </c>
      <c r="F33" s="63">
        <v>402</v>
      </c>
      <c r="G33" s="63">
        <v>3</v>
      </c>
      <c r="H33" s="63">
        <v>15</v>
      </c>
      <c r="I33" s="63">
        <v>1</v>
      </c>
      <c r="J33" s="63">
        <v>402</v>
      </c>
      <c r="K33" s="23" t="s">
        <v>127</v>
      </c>
      <c r="L33" s="24">
        <v>10000000000</v>
      </c>
      <c r="M33" s="24">
        <f>116544299+318966163+333388446+321931994+422339832+482549579+508073447+495899700+142319629+445666514+121150981+284796172+188748737+313852478+343116319+280621041+187990256+320162787+506581420+332195075+189710464+423522867+65843083+107905337+514711353+450907949+527495975+520027573+124073627+403448451+399235859+470206797+371926872</f>
        <v>11035911076</v>
      </c>
      <c r="N33" s="25" t="s">
        <v>5</v>
      </c>
      <c r="O33" s="7"/>
      <c r="P33" s="7"/>
      <c r="Q33" s="7"/>
      <c r="R33" s="25" t="s">
        <v>14</v>
      </c>
    </row>
    <row r="34" spans="1:18" ht="75.95" customHeight="1">
      <c r="A34" s="35">
        <v>33</v>
      </c>
      <c r="B34" s="27" t="s">
        <v>16</v>
      </c>
      <c r="C34" s="33" t="s">
        <v>143</v>
      </c>
      <c r="D34" s="63">
        <v>15</v>
      </c>
      <c r="E34" s="63">
        <v>5</v>
      </c>
      <c r="F34" s="63">
        <v>402</v>
      </c>
      <c r="G34" s="63">
        <v>1</v>
      </c>
      <c r="H34" s="63">
        <v>7</v>
      </c>
      <c r="I34" s="63">
        <v>6</v>
      </c>
      <c r="J34" s="63">
        <v>402</v>
      </c>
      <c r="K34" s="23" t="s">
        <v>144</v>
      </c>
      <c r="L34" s="24">
        <v>5350000000</v>
      </c>
      <c r="M34" s="24">
        <v>3123269281</v>
      </c>
      <c r="N34" s="25" t="s">
        <v>5</v>
      </c>
      <c r="O34" s="7"/>
      <c r="P34" s="7"/>
      <c r="Q34" s="7"/>
      <c r="R34" s="25" t="s">
        <v>14</v>
      </c>
    </row>
    <row r="35" spans="1:18" ht="75.95" customHeight="1">
      <c r="A35" s="17">
        <v>34</v>
      </c>
      <c r="B35" s="22" t="s">
        <v>52</v>
      </c>
      <c r="C35" s="26" t="s">
        <v>133</v>
      </c>
      <c r="D35" s="54">
        <v>9</v>
      </c>
      <c r="E35" s="54">
        <v>6</v>
      </c>
      <c r="F35" s="54">
        <v>402</v>
      </c>
      <c r="G35" s="54">
        <v>5</v>
      </c>
      <c r="H35" s="1"/>
      <c r="I35" s="1"/>
      <c r="J35" s="1"/>
      <c r="K35" s="21" t="s">
        <v>134</v>
      </c>
      <c r="L35" s="24">
        <v>101085146646</v>
      </c>
      <c r="M35" s="1"/>
      <c r="N35" s="20" t="s">
        <v>8</v>
      </c>
      <c r="O35" s="23">
        <v>4</v>
      </c>
      <c r="P35" s="23">
        <v>9</v>
      </c>
      <c r="Q35" s="23">
        <v>402</v>
      </c>
      <c r="R35" s="25" t="s">
        <v>13</v>
      </c>
    </row>
    <row r="36" spans="1:18" ht="75.95" customHeight="1">
      <c r="A36" s="35">
        <v>35</v>
      </c>
      <c r="B36" s="27" t="s">
        <v>17</v>
      </c>
      <c r="C36" s="33" t="s">
        <v>136</v>
      </c>
      <c r="D36" s="63">
        <v>14</v>
      </c>
      <c r="E36" s="63">
        <v>6</v>
      </c>
      <c r="F36" s="63">
        <v>402</v>
      </c>
      <c r="G36" s="63">
        <v>1</v>
      </c>
      <c r="H36" s="63">
        <v>18</v>
      </c>
      <c r="I36" s="63">
        <v>6</v>
      </c>
      <c r="J36" s="63">
        <v>402</v>
      </c>
      <c r="K36" s="23" t="s">
        <v>135</v>
      </c>
      <c r="L36" s="24">
        <v>2110000000</v>
      </c>
      <c r="M36" s="24">
        <v>2196256216</v>
      </c>
      <c r="N36" s="18" t="s">
        <v>6</v>
      </c>
      <c r="O36" s="23">
        <v>10</v>
      </c>
      <c r="P36" s="23">
        <v>7</v>
      </c>
      <c r="Q36" s="23">
        <v>402</v>
      </c>
      <c r="R36" s="25" t="s">
        <v>14</v>
      </c>
    </row>
    <row r="37" spans="1:18" ht="75.95" customHeight="1">
      <c r="A37" s="17">
        <v>36</v>
      </c>
      <c r="B37" s="27" t="s">
        <v>59</v>
      </c>
      <c r="C37" s="33" t="s">
        <v>141</v>
      </c>
      <c r="D37" s="63">
        <v>22</v>
      </c>
      <c r="E37" s="63">
        <v>6</v>
      </c>
      <c r="F37" s="63">
        <v>402</v>
      </c>
      <c r="G37" s="63">
        <v>3</v>
      </c>
      <c r="H37" s="63">
        <v>22</v>
      </c>
      <c r="I37" s="63">
        <v>6</v>
      </c>
      <c r="J37" s="63">
        <v>402</v>
      </c>
      <c r="K37" s="23" t="s">
        <v>142</v>
      </c>
      <c r="L37" s="24">
        <v>36747870934</v>
      </c>
      <c r="M37" s="24">
        <v>45814624385</v>
      </c>
      <c r="N37" s="18" t="s">
        <v>6</v>
      </c>
      <c r="O37" s="23">
        <v>3</v>
      </c>
      <c r="P37" s="23">
        <v>11</v>
      </c>
      <c r="Q37" s="23">
        <v>402</v>
      </c>
      <c r="R37" s="25" t="s">
        <v>13</v>
      </c>
    </row>
    <row r="38" spans="1:18" ht="75.95" customHeight="1">
      <c r="A38" s="35">
        <v>37</v>
      </c>
      <c r="B38" s="32" t="s">
        <v>46</v>
      </c>
      <c r="C38" s="33" t="s">
        <v>137</v>
      </c>
      <c r="D38" s="63">
        <v>14</v>
      </c>
      <c r="E38" s="63">
        <v>6</v>
      </c>
      <c r="F38" s="63">
        <v>402</v>
      </c>
      <c r="G38" s="63">
        <v>1</v>
      </c>
      <c r="H38" s="63">
        <v>12</v>
      </c>
      <c r="I38" s="63">
        <v>7</v>
      </c>
      <c r="J38" s="63">
        <v>402</v>
      </c>
      <c r="K38" s="23" t="s">
        <v>138</v>
      </c>
      <c r="L38" s="24">
        <v>3770000000</v>
      </c>
      <c r="M38" s="24">
        <v>3207507513</v>
      </c>
      <c r="N38" s="25" t="s">
        <v>5</v>
      </c>
      <c r="O38" s="7"/>
      <c r="P38" s="7"/>
      <c r="Q38" s="7"/>
      <c r="R38" s="25" t="s">
        <v>14</v>
      </c>
    </row>
    <row r="39" spans="1:18" ht="75.95" customHeight="1">
      <c r="A39" s="17">
        <v>38</v>
      </c>
      <c r="B39" s="31" t="s">
        <v>46</v>
      </c>
      <c r="C39" s="26" t="s">
        <v>139</v>
      </c>
      <c r="D39" s="54">
        <v>14</v>
      </c>
      <c r="E39" s="54">
        <v>6</v>
      </c>
      <c r="F39" s="54">
        <v>402</v>
      </c>
      <c r="G39" s="63">
        <v>3</v>
      </c>
      <c r="H39" s="63">
        <v>12</v>
      </c>
      <c r="I39" s="63">
        <v>7</v>
      </c>
      <c r="J39" s="63">
        <v>402</v>
      </c>
      <c r="K39" s="23" t="s">
        <v>140</v>
      </c>
      <c r="L39" s="24">
        <v>11360000000</v>
      </c>
      <c r="M39" s="7"/>
      <c r="N39" s="25" t="s">
        <v>5</v>
      </c>
      <c r="O39" s="7"/>
      <c r="P39" s="7"/>
      <c r="Q39" s="7"/>
      <c r="R39" s="25" t="s">
        <v>14</v>
      </c>
    </row>
    <row r="40" spans="1:18" ht="75" customHeight="1">
      <c r="A40" s="35">
        <v>39</v>
      </c>
      <c r="B40" s="32" t="s">
        <v>146</v>
      </c>
      <c r="C40" s="33" t="s">
        <v>147</v>
      </c>
      <c r="D40" s="69">
        <v>28</v>
      </c>
      <c r="E40" s="69">
        <v>6</v>
      </c>
      <c r="F40" s="63">
        <v>402</v>
      </c>
      <c r="G40" s="63">
        <v>3</v>
      </c>
      <c r="H40" s="63">
        <v>17</v>
      </c>
      <c r="I40" s="63">
        <v>7</v>
      </c>
      <c r="J40" s="63">
        <v>402</v>
      </c>
      <c r="K40" s="23" t="s">
        <v>145</v>
      </c>
      <c r="L40" s="28">
        <v>32884758589</v>
      </c>
      <c r="M40" s="7"/>
      <c r="N40" s="25" t="s">
        <v>5</v>
      </c>
      <c r="O40" s="7"/>
      <c r="P40" s="7"/>
      <c r="Q40" s="7"/>
      <c r="R40" s="25" t="s">
        <v>14</v>
      </c>
    </row>
    <row r="41" spans="1:18" ht="67.5" customHeight="1">
      <c r="A41" s="17">
        <v>40</v>
      </c>
      <c r="B41" s="22" t="s">
        <v>17</v>
      </c>
      <c r="C41" s="33" t="s">
        <v>148</v>
      </c>
      <c r="D41" s="63">
        <v>14</v>
      </c>
      <c r="E41" s="63">
        <v>6</v>
      </c>
      <c r="F41" s="63">
        <v>402</v>
      </c>
      <c r="G41" s="63">
        <v>1</v>
      </c>
      <c r="H41" s="63">
        <v>18</v>
      </c>
      <c r="I41" s="63">
        <v>6</v>
      </c>
      <c r="J41" s="63">
        <v>402</v>
      </c>
      <c r="K41" s="23" t="s">
        <v>149</v>
      </c>
      <c r="L41" s="24">
        <v>6485000000</v>
      </c>
      <c r="M41" s="24">
        <v>6463069379</v>
      </c>
      <c r="N41" s="18" t="s">
        <v>6</v>
      </c>
      <c r="O41" s="23">
        <v>8</v>
      </c>
      <c r="P41" s="23">
        <v>11</v>
      </c>
      <c r="Q41" s="23">
        <v>402</v>
      </c>
      <c r="R41" s="25" t="s">
        <v>14</v>
      </c>
    </row>
    <row r="42" spans="1:18" ht="68.099999999999994" customHeight="1">
      <c r="A42" s="35">
        <v>41</v>
      </c>
      <c r="B42" s="46" t="s">
        <v>151</v>
      </c>
      <c r="C42" s="33" t="s">
        <v>152</v>
      </c>
      <c r="D42" s="63">
        <v>13</v>
      </c>
      <c r="E42" s="63">
        <v>6</v>
      </c>
      <c r="F42" s="63">
        <v>402</v>
      </c>
      <c r="G42" s="63">
        <v>1</v>
      </c>
      <c r="H42" s="63">
        <v>14</v>
      </c>
      <c r="I42" s="63">
        <v>6</v>
      </c>
      <c r="J42" s="63">
        <v>402</v>
      </c>
      <c r="K42" s="23" t="s">
        <v>150</v>
      </c>
      <c r="L42" s="24">
        <v>573562333</v>
      </c>
      <c r="M42" s="24">
        <v>698547539</v>
      </c>
      <c r="N42" s="18" t="s">
        <v>6</v>
      </c>
      <c r="O42" s="23">
        <v>26</v>
      </c>
      <c r="P42" s="23">
        <v>6</v>
      </c>
      <c r="Q42" s="23">
        <v>402</v>
      </c>
      <c r="R42" s="25" t="s">
        <v>14</v>
      </c>
    </row>
    <row r="43" spans="1:18" ht="68.099999999999994" customHeight="1">
      <c r="A43" s="17">
        <v>42</v>
      </c>
      <c r="B43" s="31" t="s">
        <v>9</v>
      </c>
      <c r="C43" s="33" t="s">
        <v>154</v>
      </c>
      <c r="D43" s="63">
        <v>5</v>
      </c>
      <c r="E43" s="63">
        <v>7</v>
      </c>
      <c r="F43" s="63">
        <v>402</v>
      </c>
      <c r="G43" s="63">
        <v>5</v>
      </c>
      <c r="H43" s="63">
        <v>22</v>
      </c>
      <c r="I43" s="63">
        <v>7</v>
      </c>
      <c r="J43" s="63">
        <v>402</v>
      </c>
      <c r="K43" s="23" t="s">
        <v>155</v>
      </c>
      <c r="L43" s="24">
        <v>29489802646</v>
      </c>
      <c r="M43" s="24">
        <v>11260478042</v>
      </c>
      <c r="N43" s="25" t="s">
        <v>5</v>
      </c>
      <c r="O43" s="1"/>
      <c r="P43" s="1"/>
      <c r="Q43" s="1"/>
      <c r="R43" s="25" t="s">
        <v>13</v>
      </c>
    </row>
    <row r="44" spans="1:18" ht="68.099999999999994" customHeight="1">
      <c r="A44" s="35">
        <v>43</v>
      </c>
      <c r="B44" s="31" t="s">
        <v>156</v>
      </c>
      <c r="C44" s="33" t="s">
        <v>157</v>
      </c>
      <c r="D44" s="63">
        <v>10</v>
      </c>
      <c r="E44" s="63">
        <v>7</v>
      </c>
      <c r="F44" s="63">
        <v>402</v>
      </c>
      <c r="G44" s="63">
        <v>2</v>
      </c>
      <c r="H44" s="63">
        <v>25</v>
      </c>
      <c r="I44" s="63">
        <v>7</v>
      </c>
      <c r="J44" s="63">
        <v>402</v>
      </c>
      <c r="K44" s="23" t="s">
        <v>158</v>
      </c>
      <c r="L44" s="24">
        <v>3478274083</v>
      </c>
      <c r="M44" s="24">
        <v>2444656433</v>
      </c>
      <c r="N44" s="25" t="s">
        <v>5</v>
      </c>
      <c r="O44" s="1"/>
      <c r="P44" s="1"/>
      <c r="Q44" s="1"/>
      <c r="R44" s="25" t="s">
        <v>14</v>
      </c>
    </row>
    <row r="45" spans="1:18" ht="68.099999999999994" customHeight="1">
      <c r="A45" s="17">
        <v>44</v>
      </c>
      <c r="B45" s="31" t="s">
        <v>159</v>
      </c>
      <c r="C45" s="33" t="s">
        <v>153</v>
      </c>
      <c r="D45" s="63">
        <v>17</v>
      </c>
      <c r="E45" s="63">
        <v>7</v>
      </c>
      <c r="F45" s="63">
        <v>402</v>
      </c>
      <c r="G45" s="63">
        <v>4</v>
      </c>
      <c r="H45" s="63">
        <v>1</v>
      </c>
      <c r="I45" s="63">
        <v>8</v>
      </c>
      <c r="J45" s="63">
        <v>402</v>
      </c>
      <c r="K45" s="23" t="s">
        <v>160</v>
      </c>
      <c r="L45" s="24">
        <v>16638240146</v>
      </c>
      <c r="M45" s="24">
        <v>10341469878</v>
      </c>
      <c r="N45" s="25" t="s">
        <v>5</v>
      </c>
      <c r="O45" s="1"/>
      <c r="P45" s="1"/>
      <c r="Q45" s="1"/>
      <c r="R45" s="25" t="s">
        <v>14</v>
      </c>
    </row>
    <row r="46" spans="1:18" ht="68.099999999999994" customHeight="1">
      <c r="A46" s="17">
        <v>45</v>
      </c>
      <c r="B46" s="31" t="s">
        <v>161</v>
      </c>
      <c r="C46" s="26" t="s">
        <v>162</v>
      </c>
      <c r="D46" s="54">
        <v>15</v>
      </c>
      <c r="E46" s="54">
        <v>7</v>
      </c>
      <c r="F46" s="54">
        <v>402</v>
      </c>
      <c r="G46" s="54">
        <v>8</v>
      </c>
      <c r="H46" s="54">
        <v>1</v>
      </c>
      <c r="I46" s="54">
        <v>8</v>
      </c>
      <c r="J46" s="54">
        <v>402</v>
      </c>
      <c r="K46" s="21" t="s">
        <v>163</v>
      </c>
      <c r="L46" s="28">
        <v>71200329540</v>
      </c>
      <c r="M46" s="24">
        <v>9786782913</v>
      </c>
      <c r="N46" s="29" t="s">
        <v>5</v>
      </c>
      <c r="O46" s="1"/>
      <c r="P46" s="1"/>
      <c r="Q46" s="1"/>
      <c r="R46" s="25" t="s">
        <v>14</v>
      </c>
    </row>
    <row r="47" spans="1:18" ht="68.099999999999994" customHeight="1">
      <c r="A47" s="17">
        <v>46</v>
      </c>
      <c r="B47" s="27" t="s">
        <v>21</v>
      </c>
      <c r="C47" s="33" t="s">
        <v>166</v>
      </c>
      <c r="D47" s="63">
        <v>30</v>
      </c>
      <c r="E47" s="63">
        <v>7</v>
      </c>
      <c r="F47" s="63">
        <v>402</v>
      </c>
      <c r="G47" s="63">
        <v>2</v>
      </c>
      <c r="H47" s="63">
        <v>15</v>
      </c>
      <c r="I47" s="63">
        <v>8</v>
      </c>
      <c r="J47" s="63">
        <v>402</v>
      </c>
      <c r="K47" s="23" t="s">
        <v>165</v>
      </c>
      <c r="L47" s="24">
        <v>3588000000</v>
      </c>
      <c r="M47" s="24">
        <v>2907344276</v>
      </c>
      <c r="N47" s="18" t="s">
        <v>6</v>
      </c>
      <c r="O47" s="23">
        <v>26</v>
      </c>
      <c r="P47" s="23">
        <v>10</v>
      </c>
      <c r="Q47" s="23">
        <v>402</v>
      </c>
      <c r="R47" s="25" t="s">
        <v>14</v>
      </c>
    </row>
    <row r="48" spans="1:18" ht="68.099999999999994" customHeight="1">
      <c r="A48" s="73">
        <v>47</v>
      </c>
      <c r="B48" s="31" t="s">
        <v>18</v>
      </c>
      <c r="C48" s="26" t="s">
        <v>167</v>
      </c>
      <c r="D48" s="54">
        <v>9</v>
      </c>
      <c r="E48" s="54">
        <v>8</v>
      </c>
      <c r="F48" s="54">
        <v>402</v>
      </c>
      <c r="G48" s="54">
        <v>8</v>
      </c>
      <c r="H48" s="54">
        <v>27</v>
      </c>
      <c r="I48" s="54">
        <v>8</v>
      </c>
      <c r="J48" s="54">
        <v>402</v>
      </c>
      <c r="K48" s="21" t="s">
        <v>168</v>
      </c>
      <c r="L48" s="28">
        <v>81649017512</v>
      </c>
      <c r="M48" s="24">
        <v>5669732271</v>
      </c>
      <c r="N48" s="25" t="s">
        <v>5</v>
      </c>
      <c r="O48" s="1"/>
      <c r="P48" s="1"/>
      <c r="Q48" s="1"/>
      <c r="R48" s="25" t="s">
        <v>14</v>
      </c>
    </row>
    <row r="49" spans="1:18" ht="71.25" customHeight="1">
      <c r="A49" s="17">
        <v>48</v>
      </c>
      <c r="B49" s="32" t="s">
        <v>10</v>
      </c>
      <c r="C49" s="33" t="s">
        <v>170</v>
      </c>
      <c r="D49" s="63">
        <v>7</v>
      </c>
      <c r="E49" s="63">
        <v>8</v>
      </c>
      <c r="F49" s="63">
        <v>402</v>
      </c>
      <c r="G49" s="63">
        <v>3</v>
      </c>
      <c r="H49" s="63">
        <v>1</v>
      </c>
      <c r="I49" s="63">
        <v>9</v>
      </c>
      <c r="J49" s="63">
        <v>402</v>
      </c>
      <c r="K49" s="23" t="s">
        <v>169</v>
      </c>
      <c r="L49" s="24">
        <v>42538278226</v>
      </c>
      <c r="M49" s="7"/>
      <c r="N49" s="25" t="s">
        <v>5</v>
      </c>
      <c r="O49" s="7"/>
      <c r="P49" s="7"/>
      <c r="Q49" s="7"/>
      <c r="R49" s="25" t="s">
        <v>13</v>
      </c>
    </row>
    <row r="50" spans="1:18" ht="68.099999999999994" customHeight="1">
      <c r="A50" s="73">
        <v>49</v>
      </c>
      <c r="B50" s="32" t="s">
        <v>161</v>
      </c>
      <c r="C50" s="33" t="s">
        <v>172</v>
      </c>
      <c r="D50" s="63">
        <v>10</v>
      </c>
      <c r="E50" s="63">
        <v>8</v>
      </c>
      <c r="F50" s="63">
        <v>402</v>
      </c>
      <c r="G50" s="63">
        <v>8</v>
      </c>
      <c r="H50" s="63">
        <v>1</v>
      </c>
      <c r="I50" s="63">
        <v>9</v>
      </c>
      <c r="J50" s="63">
        <v>402</v>
      </c>
      <c r="K50" s="23" t="s">
        <v>173</v>
      </c>
      <c r="L50" s="24">
        <v>72721415876</v>
      </c>
      <c r="M50" s="24">
        <v>9091647412</v>
      </c>
      <c r="N50" s="25" t="s">
        <v>5</v>
      </c>
      <c r="O50" s="7"/>
      <c r="P50" s="7"/>
      <c r="Q50" s="7"/>
      <c r="R50" s="25" t="s">
        <v>14</v>
      </c>
    </row>
    <row r="51" spans="1:18" ht="84.75" customHeight="1">
      <c r="A51" s="17">
        <v>50</v>
      </c>
      <c r="B51" s="32" t="s">
        <v>175</v>
      </c>
      <c r="C51" s="33" t="s">
        <v>174</v>
      </c>
      <c r="D51" s="63">
        <v>11</v>
      </c>
      <c r="E51" s="63">
        <v>8</v>
      </c>
      <c r="F51" s="63">
        <v>402</v>
      </c>
      <c r="G51" s="63">
        <v>3</v>
      </c>
      <c r="H51" s="63">
        <v>9</v>
      </c>
      <c r="I51" s="63">
        <v>9</v>
      </c>
      <c r="J51" s="63">
        <v>402</v>
      </c>
      <c r="K51" s="23" t="s">
        <v>176</v>
      </c>
      <c r="L51" s="24">
        <v>30758304045</v>
      </c>
      <c r="M51" s="7"/>
      <c r="N51" s="25" t="s">
        <v>5</v>
      </c>
      <c r="O51" s="7"/>
      <c r="P51" s="7"/>
      <c r="Q51" s="7"/>
      <c r="R51" s="25" t="s">
        <v>13</v>
      </c>
    </row>
    <row r="52" spans="1:18" ht="68.099999999999994" customHeight="1">
      <c r="A52" s="73">
        <v>51</v>
      </c>
      <c r="B52" s="27" t="s">
        <v>16</v>
      </c>
      <c r="C52" s="33" t="s">
        <v>178</v>
      </c>
      <c r="D52" s="63">
        <v>25</v>
      </c>
      <c r="E52" s="63">
        <v>7</v>
      </c>
      <c r="F52" s="63">
        <v>402</v>
      </c>
      <c r="G52" s="63">
        <v>1</v>
      </c>
      <c r="H52" s="63">
        <v>6</v>
      </c>
      <c r="I52" s="63">
        <v>8</v>
      </c>
      <c r="J52" s="63">
        <v>402</v>
      </c>
      <c r="K52" s="23" t="s">
        <v>177</v>
      </c>
      <c r="L52" s="24">
        <v>1390000000</v>
      </c>
      <c r="M52" s="7"/>
      <c r="N52" s="25" t="s">
        <v>5</v>
      </c>
      <c r="O52" s="7"/>
      <c r="P52" s="7"/>
      <c r="Q52" s="7"/>
      <c r="R52" s="25" t="s">
        <v>14</v>
      </c>
    </row>
    <row r="53" spans="1:18" ht="68.099999999999994" customHeight="1">
      <c r="A53" s="17">
        <v>52</v>
      </c>
      <c r="B53" s="32" t="s">
        <v>59</v>
      </c>
      <c r="C53" s="33" t="s">
        <v>179</v>
      </c>
      <c r="D53" s="63">
        <v>15</v>
      </c>
      <c r="E53" s="63">
        <v>8</v>
      </c>
      <c r="F53" s="63">
        <v>402</v>
      </c>
      <c r="G53" s="63">
        <v>2</v>
      </c>
      <c r="H53" s="63">
        <v>1</v>
      </c>
      <c r="I53" s="63">
        <v>9</v>
      </c>
      <c r="J53" s="63">
        <v>402</v>
      </c>
      <c r="K53" s="23" t="s">
        <v>190</v>
      </c>
      <c r="L53" s="24">
        <v>5290000000</v>
      </c>
      <c r="M53" s="24">
        <v>6579591790</v>
      </c>
      <c r="N53" s="25" t="s">
        <v>5</v>
      </c>
      <c r="O53" s="7"/>
      <c r="P53" s="7"/>
      <c r="Q53" s="7"/>
      <c r="R53" s="25" t="s">
        <v>14</v>
      </c>
    </row>
    <row r="54" spans="1:18" ht="68.099999999999994" customHeight="1">
      <c r="A54" s="73">
        <v>53</v>
      </c>
      <c r="B54" s="27" t="s">
        <v>16</v>
      </c>
      <c r="C54" s="33" t="s">
        <v>180</v>
      </c>
      <c r="D54" s="63">
        <v>10</v>
      </c>
      <c r="E54" s="63">
        <v>8</v>
      </c>
      <c r="F54" s="63">
        <v>402</v>
      </c>
      <c r="G54" s="63">
        <v>2</v>
      </c>
      <c r="H54" s="63">
        <v>4</v>
      </c>
      <c r="I54" s="63">
        <v>9</v>
      </c>
      <c r="J54" s="63">
        <v>402</v>
      </c>
      <c r="K54" s="23" t="s">
        <v>181</v>
      </c>
      <c r="L54" s="24">
        <v>5080000000</v>
      </c>
      <c r="M54" s="24">
        <v>2980085110</v>
      </c>
      <c r="N54" s="25" t="s">
        <v>5</v>
      </c>
      <c r="O54" s="7"/>
      <c r="P54" s="7"/>
      <c r="Q54" s="7"/>
      <c r="R54" s="25" t="s">
        <v>14</v>
      </c>
    </row>
    <row r="55" spans="1:18" ht="68.099999999999994" customHeight="1">
      <c r="A55" s="17">
        <v>54</v>
      </c>
      <c r="B55" s="31" t="s">
        <v>59</v>
      </c>
      <c r="C55" s="26" t="s">
        <v>182</v>
      </c>
      <c r="D55" s="63">
        <v>11</v>
      </c>
      <c r="E55" s="63">
        <v>10</v>
      </c>
      <c r="F55" s="63">
        <v>402</v>
      </c>
      <c r="G55" s="63">
        <v>2</v>
      </c>
      <c r="H55" s="63">
        <v>19</v>
      </c>
      <c r="I55" s="63">
        <v>10</v>
      </c>
      <c r="J55" s="63">
        <v>402</v>
      </c>
      <c r="K55" s="23" t="s">
        <v>183</v>
      </c>
      <c r="L55" s="24">
        <v>21110011833</v>
      </c>
      <c r="M55" s="24">
        <v>25676617907</v>
      </c>
      <c r="N55" s="25" t="s">
        <v>5</v>
      </c>
      <c r="O55" s="7"/>
      <c r="P55" s="7"/>
      <c r="Q55" s="7"/>
      <c r="R55" s="25" t="s">
        <v>14</v>
      </c>
    </row>
    <row r="56" spans="1:18" ht="107.25" customHeight="1">
      <c r="A56" s="17">
        <v>55</v>
      </c>
      <c r="B56" s="22" t="s">
        <v>185</v>
      </c>
      <c r="C56" s="26" t="s">
        <v>186</v>
      </c>
      <c r="D56" s="54">
        <v>9</v>
      </c>
      <c r="E56" s="54">
        <v>11</v>
      </c>
      <c r="F56" s="54">
        <v>402</v>
      </c>
      <c r="G56" s="54">
        <v>1</v>
      </c>
      <c r="H56" s="63"/>
      <c r="I56" s="63"/>
      <c r="J56" s="63"/>
      <c r="K56" s="21" t="s">
        <v>184</v>
      </c>
      <c r="L56" s="28">
        <v>3490000000</v>
      </c>
      <c r="M56" s="1"/>
      <c r="N56" s="29" t="s">
        <v>5</v>
      </c>
      <c r="O56" s="1"/>
      <c r="P56" s="1"/>
      <c r="Q56" s="1"/>
      <c r="R56" s="29" t="s">
        <v>14</v>
      </c>
    </row>
    <row r="57" spans="1:18" ht="81" customHeight="1">
      <c r="A57" s="74">
        <v>56</v>
      </c>
      <c r="B57" s="22" t="s">
        <v>187</v>
      </c>
      <c r="C57" s="26" t="s">
        <v>188</v>
      </c>
      <c r="D57" s="54">
        <v>9</v>
      </c>
      <c r="E57" s="54">
        <v>11</v>
      </c>
      <c r="F57" s="54">
        <v>402</v>
      </c>
      <c r="G57" s="54">
        <v>2</v>
      </c>
      <c r="H57" s="54">
        <v>25</v>
      </c>
      <c r="I57" s="54">
        <v>11</v>
      </c>
      <c r="J57" s="54">
        <v>402</v>
      </c>
      <c r="K57" s="21" t="s">
        <v>189</v>
      </c>
      <c r="L57" s="28">
        <v>3299357210</v>
      </c>
      <c r="M57" s="1"/>
      <c r="N57" s="29" t="s">
        <v>5</v>
      </c>
      <c r="O57" s="1"/>
      <c r="P57" s="1"/>
      <c r="Q57" s="1"/>
      <c r="R57" s="29" t="s">
        <v>14</v>
      </c>
    </row>
    <row r="58" spans="1:18" ht="68.099999999999994" customHeight="1">
      <c r="A58" s="17">
        <v>57</v>
      </c>
      <c r="B58" s="31" t="s">
        <v>59</v>
      </c>
      <c r="C58" s="26" t="s">
        <v>191</v>
      </c>
      <c r="D58" s="54">
        <v>13</v>
      </c>
      <c r="E58" s="54">
        <v>12</v>
      </c>
      <c r="F58" s="54">
        <v>402</v>
      </c>
      <c r="G58" s="54">
        <v>2</v>
      </c>
      <c r="H58" s="54">
        <v>15</v>
      </c>
      <c r="I58" s="54">
        <v>12</v>
      </c>
      <c r="J58" s="54">
        <v>402</v>
      </c>
      <c r="K58" s="21" t="s">
        <v>192</v>
      </c>
      <c r="L58" s="28">
        <v>8370000000</v>
      </c>
      <c r="M58" s="24">
        <v>6958348840</v>
      </c>
      <c r="N58" s="29" t="s">
        <v>5</v>
      </c>
      <c r="O58" s="1"/>
      <c r="P58" s="1"/>
      <c r="Q58" s="1"/>
      <c r="R58" s="29" t="s">
        <v>14</v>
      </c>
    </row>
    <row r="59" spans="1:18" ht="68.099999999999994" customHeight="1">
      <c r="A59" s="74">
        <v>58</v>
      </c>
      <c r="B59" s="31" t="s">
        <v>59</v>
      </c>
      <c r="C59" s="26" t="s">
        <v>193</v>
      </c>
      <c r="D59" s="54">
        <v>13</v>
      </c>
      <c r="E59" s="54">
        <v>12</v>
      </c>
      <c r="F59" s="54">
        <v>402</v>
      </c>
      <c r="G59" s="54">
        <v>2</v>
      </c>
      <c r="H59" s="54">
        <v>15</v>
      </c>
      <c r="I59" s="54">
        <v>12</v>
      </c>
      <c r="J59" s="54">
        <v>402</v>
      </c>
      <c r="K59" s="21" t="s">
        <v>194</v>
      </c>
      <c r="L59" s="28">
        <v>7300000000</v>
      </c>
      <c r="M59" s="24">
        <v>4532398642</v>
      </c>
      <c r="N59" s="25" t="s">
        <v>5</v>
      </c>
      <c r="O59" s="7"/>
      <c r="P59" s="7"/>
      <c r="Q59" s="7"/>
      <c r="R59" s="25" t="s">
        <v>14</v>
      </c>
    </row>
    <row r="60" spans="1:18" ht="68.099999999999994" customHeight="1">
      <c r="A60" s="17">
        <v>59</v>
      </c>
      <c r="B60" s="31" t="s">
        <v>159</v>
      </c>
      <c r="C60" s="26" t="s">
        <v>199</v>
      </c>
      <c r="D60" s="54">
        <v>24</v>
      </c>
      <c r="E60" s="54">
        <v>12</v>
      </c>
      <c r="F60" s="54">
        <v>402</v>
      </c>
      <c r="G60" s="1"/>
      <c r="H60" s="1"/>
      <c r="I60" s="1"/>
      <c r="J60" s="1"/>
      <c r="K60" s="21" t="s">
        <v>195</v>
      </c>
      <c r="L60" s="28">
        <v>3594273851</v>
      </c>
      <c r="M60" s="1"/>
      <c r="N60" s="29" t="s">
        <v>5</v>
      </c>
      <c r="O60" s="1"/>
      <c r="P60" s="1"/>
      <c r="Q60" s="1"/>
      <c r="R60" s="29" t="s">
        <v>14</v>
      </c>
    </row>
    <row r="61" spans="1:18" ht="78.75" customHeight="1">
      <c r="A61" s="17">
        <v>60</v>
      </c>
      <c r="B61" s="31" t="s">
        <v>159</v>
      </c>
      <c r="C61" s="26" t="s">
        <v>197</v>
      </c>
      <c r="D61" s="54">
        <v>20</v>
      </c>
      <c r="E61" s="54">
        <v>12</v>
      </c>
      <c r="F61" s="54">
        <v>402</v>
      </c>
      <c r="G61" s="54">
        <v>2</v>
      </c>
      <c r="H61" s="54">
        <v>23</v>
      </c>
      <c r="I61" s="54">
        <v>12</v>
      </c>
      <c r="J61" s="54">
        <v>402</v>
      </c>
      <c r="K61" s="21" t="s">
        <v>198</v>
      </c>
      <c r="L61" s="28">
        <v>2951635071</v>
      </c>
      <c r="M61" s="1"/>
      <c r="N61" s="29" t="s">
        <v>5</v>
      </c>
      <c r="O61" s="1"/>
      <c r="P61" s="1"/>
      <c r="Q61" s="1"/>
      <c r="R61" s="29" t="s">
        <v>14</v>
      </c>
    </row>
    <row r="62" spans="1:18" ht="68.099999999999994" customHeight="1"/>
  </sheetData>
  <autoFilter ref="A1:R61">
    <sortState ref="A5:BE53">
      <sortCondition ref="A1:A53"/>
    </sortState>
  </autoFilter>
  <conditionalFormatting sqref="C1:C39 C41:C1048576">
    <cfRule type="duplicateValues" dxfId="3" priority="3"/>
    <cfRule type="duplicateValues" dxfId="2" priority="4"/>
  </conditionalFormatting>
  <conditionalFormatting sqref="C40">
    <cfRule type="duplicateValues" dxfId="1" priority="1"/>
    <cfRule type="duplicateValues" dxfId="0" priority="2"/>
  </conditionalFormatting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قدرت جذب اعتبارات</vt:lpstr>
      <vt:lpstr>قراردادهای 1402</vt:lpstr>
      <vt:lpstr>'قدرت جذب اعتبارات'!Print_Area</vt:lpstr>
      <vt:lpstr>'قراردادهای 1402'!Print_Area</vt:lpstr>
    </vt:vector>
  </TitlesOfParts>
  <Company>PARANDCO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ZAITOON</dc:creator>
  <cp:lastModifiedBy>moshaver</cp:lastModifiedBy>
  <cp:lastPrinted>2024-03-25T05:43:58Z</cp:lastPrinted>
  <dcterms:created xsi:type="dcterms:W3CDTF">2017-06-10T06:07:54Z</dcterms:created>
  <dcterms:modified xsi:type="dcterms:W3CDTF">2024-04-02T05:57:29Z</dcterms:modified>
</cp:coreProperties>
</file>